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6.xml" ContentType="application/vnd.openxmlformats-officedocument.spreadsheetml.comments+xml"/>
  <Override PartName="/xl/comments8.xml" ContentType="application/vnd.openxmlformats-officedocument.spreadsheetml.comments+xml"/>
  <Override PartName="/xl/comments10.xml" ContentType="application/vnd.openxmlformats-officedocument.spreadsheetml.comments+xml"/>
  <Override PartName="/xl/comments7.xml" ContentType="application/vnd.openxmlformats-officedocument.spreadsheetml.comments+xml"/>
  <Override PartName="/xl/comments11.xml" ContentType="application/vnd.openxmlformats-officedocument.spreadsheetml.comments+xml"/>
  <Override PartName="/xl/comments9.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https://theermgroup.sharepoint.com/sites/E4Tech-DocumentCo-AuthoringCentre/E4tech Consulting/Projects/Current/DfT-AdvancedFuelsFund-Delivery/Design Phase Documents/AFF final docs 18.07.2022 plus updated Guidance/"/>
    </mc:Choice>
  </mc:AlternateContent>
  <xr:revisionPtr revIDLastSave="335" documentId="13_ncr:1_{4E30ABAA-DFF4-4A1D-BC41-11E5293679C0}" xr6:coauthVersionLast="47" xr6:coauthVersionMax="47" xr10:uidLastSave="{475396A0-7318-4479-AF89-A5138486F4DE}"/>
  <bookViews>
    <workbookView xWindow="-108" yWindow="-108" windowWidth="23256" windowHeight="12576" tabRatio="857" xr2:uid="{00000000-000D-0000-FFFF-FFFF00000000}"/>
  </bookViews>
  <sheets>
    <sheet name="Guidance" sheetId="14" r:id="rId1"/>
    <sheet name="Units" sheetId="7" r:id="rId2"/>
    <sheet name="Assumptions" sheetId="25" r:id="rId3"/>
    <sheet name="Summary" sheetId="24" r:id="rId4"/>
    <sheet name="System Boundary" sheetId="8" r:id="rId5"/>
    <sheet name="Additional evidence" sheetId="27" r:id="rId6"/>
    <sheet name="RCF counterfactual" sheetId="28" r:id="rId7"/>
    <sheet name="Feedstock collection" sheetId="15" r:id="rId8"/>
    <sheet name="Feedstock transport" sheetId="4" r:id="rId9"/>
    <sheet name="Pre-processing" sheetId="16" r:id="rId10"/>
    <sheet name="Intermediate transport" sheetId="17" r:id="rId11"/>
    <sheet name="Conversion" sheetId="9" r:id="rId12"/>
    <sheet name="Further transport" sheetId="18" r:id="rId13"/>
    <sheet name="Upgrading" sheetId="19" r:id="rId14"/>
    <sheet name="Fuel distribution 1" sheetId="20" r:id="rId15"/>
    <sheet name="Fuel storage" sheetId="21" r:id="rId16"/>
    <sheet name="Fuel distribution 2" sheetId="22" r:id="rId17"/>
    <sheet name="Refuelling" sheetId="23" r:id="rId18"/>
  </sheets>
  <externalReferences>
    <externalReference r:id="rId19"/>
  </externalReferences>
  <definedNames>
    <definedName name="___thinkcellH0MAAAAAAAAAAAAA7dNG6tch00eipRX895PDVA" localSheetId="6" hidden="1">#REF!</definedName>
    <definedName name="___thinkcellH0MAAAAAAAAAAAAA7dNG6tch00eipRX895PDVA" hidden="1">#REF!</definedName>
    <definedName name="__1234Graph_A" localSheetId="6" hidden="1">[1]Depreciation!#REF!</definedName>
    <definedName name="__1234Graph_A" hidden="1">[1]Depreciation!#REF!</definedName>
    <definedName name="__123Graph_A" localSheetId="6" hidden="1">[1]Depreciation!#REF!</definedName>
    <definedName name="__123Graph_A" hidden="1">[1]Depreciation!#REF!</definedName>
    <definedName name="__123Graph_B" localSheetId="6" hidden="1">[1]Depreciation!#REF!</definedName>
    <definedName name="__123Graph_B" hidden="1">[1]Depreciation!#REF!</definedName>
    <definedName name="__123Graph_C" localSheetId="6" hidden="1">[1]Depreciation!#REF!</definedName>
    <definedName name="__123Graph_C" hidden="1">[1]Depreciation!#REF!</definedName>
    <definedName name="__123Graph_D" localSheetId="6" hidden="1">[1]Depreciation!#REF!</definedName>
    <definedName name="__123Graph_D" hidden="1">[1]Depreciation!#REF!</definedName>
    <definedName name="__123Graph_E" localSheetId="6" hidden="1">[1]Depreciation!#REF!</definedName>
    <definedName name="__123Graph_E" hidden="1">[1]Depreciation!#REF!</definedName>
    <definedName name="__123Graph_F" localSheetId="6" hidden="1">[1]Depreciation!#REF!</definedName>
    <definedName name="__123Graph_F" hidden="1">[1]Depreciation!#REF!</definedName>
    <definedName name="__123Graph_X" localSheetId="6" hidden="1">[1]Depreciation!#REF!</definedName>
    <definedName name="__123Graph_X" hidden="1">[1]Depreciation!#REF!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1_In1" hidden="1">#REF!</definedName>
    <definedName name="_Table1_Out" hidden="1">#REF!</definedName>
    <definedName name="aadsds"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adsds"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nscount" hidden="1">1</definedName>
    <definedName name="bbl_to_USgal">Units!$C$25</definedName>
    <definedName name="CBWorkbookPriority" hidden="1">-1631513760</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39343.6573842593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kWh_to_MJ">Units!$C$8</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b_inputLocation" localSheetId="6" hidden="1">#REF!</definedName>
    <definedName name="mb_inputLocation" hidden="1">#REF!</definedName>
    <definedName name="RiskAfterRecalcMacro" hidden="1">"BetweenIterationsMacro"</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2009000</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My._.estimate._.report." localSheetId="6" hidden="1">{"Equipment",#N/A,FALSE,"A";"Summary",#N/A,FALSE,"B"}</definedName>
    <definedName name="wrn.My._.estimate._.report." localSheetId="1" hidden="1">{"Equipment",#N/A,FALSE,"A";"Summary",#N/A,FALSE,"B"}</definedName>
    <definedName name="wrn.My._.estimate._.report." hidden="1">{"Equipment",#N/A,FALSE,"A";"Summary",#N/A,FALSE,"B"}</definedName>
    <definedName name="Yes_No">Units!$B$89:$B$90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24" l="1"/>
  <c r="J14" i="24"/>
  <c r="J13" i="24"/>
  <c r="J12" i="24"/>
  <c r="J11" i="24"/>
  <c r="J10" i="24"/>
  <c r="J9" i="24"/>
  <c r="J8" i="24"/>
  <c r="J7" i="24"/>
  <c r="J6" i="24"/>
  <c r="J5" i="24"/>
  <c r="J4" i="24"/>
  <c r="D8" i="24"/>
  <c r="H8" i="24"/>
  <c r="D14" i="24"/>
  <c r="H14" i="24"/>
  <c r="F8" i="24"/>
  <c r="F6" i="24"/>
  <c r="D6" i="24"/>
  <c r="H6" i="24"/>
  <c r="F14" i="24"/>
  <c r="F13" i="24"/>
  <c r="F12" i="24"/>
  <c r="F11" i="24"/>
  <c r="F10" i="24"/>
  <c r="F9" i="24"/>
  <c r="F7" i="24"/>
  <c r="F5" i="24"/>
  <c r="F4" i="24"/>
  <c r="D4" i="24"/>
  <c r="H13" i="24"/>
  <c r="H12" i="24"/>
  <c r="H11" i="24"/>
  <c r="H10" i="24"/>
  <c r="H9" i="24"/>
  <c r="H7" i="24"/>
  <c r="H5" i="24"/>
  <c r="H4" i="24"/>
  <c r="D5" i="24"/>
  <c r="D7" i="24"/>
  <c r="D9" i="24"/>
  <c r="D10" i="24"/>
  <c r="D11" i="24"/>
  <c r="D12" i="24"/>
  <c r="D13" i="24"/>
  <c r="C3" i="24"/>
  <c r="Q14" i="23"/>
  <c r="P14" i="23"/>
  <c r="Q13" i="23"/>
  <c r="P13" i="23"/>
  <c r="Q12" i="23"/>
  <c r="P12" i="23"/>
  <c r="Q11" i="23"/>
  <c r="P11" i="23"/>
  <c r="Q10" i="23"/>
  <c r="P10" i="23"/>
  <c r="Q9" i="23"/>
  <c r="P9" i="23"/>
  <c r="Q8" i="23"/>
  <c r="P8" i="23"/>
  <c r="Q7" i="23"/>
  <c r="P7" i="23"/>
  <c r="Q6" i="23"/>
  <c r="P6" i="23"/>
  <c r="Q5" i="23"/>
  <c r="P5" i="23"/>
  <c r="Q14" i="22"/>
  <c r="P14" i="22"/>
  <c r="Q13" i="22"/>
  <c r="P13" i="22"/>
  <c r="Q12" i="22"/>
  <c r="P12" i="22"/>
  <c r="Q11" i="22"/>
  <c r="P11" i="22"/>
  <c r="Q10" i="22"/>
  <c r="P10" i="22"/>
  <c r="Q9" i="22"/>
  <c r="P9" i="22"/>
  <c r="Q8" i="22"/>
  <c r="P8" i="22"/>
  <c r="Q7" i="22"/>
  <c r="P7" i="22"/>
  <c r="Q6" i="22"/>
  <c r="P6" i="22"/>
  <c r="Q5" i="22"/>
  <c r="P5" i="22"/>
  <c r="Q14" i="21"/>
  <c r="P14" i="21"/>
  <c r="Q13" i="21"/>
  <c r="P13" i="21"/>
  <c r="Q12" i="21"/>
  <c r="P12" i="21"/>
  <c r="Q11" i="21"/>
  <c r="P11" i="21"/>
  <c r="Q10" i="21"/>
  <c r="P10" i="21"/>
  <c r="Q9" i="21"/>
  <c r="P9" i="21"/>
  <c r="Q8" i="21"/>
  <c r="P8" i="21"/>
  <c r="Q7" i="21"/>
  <c r="P7" i="21"/>
  <c r="Q6" i="21"/>
  <c r="P6" i="21"/>
  <c r="Q5" i="21"/>
  <c r="P5" i="21"/>
  <c r="Q14" i="20"/>
  <c r="P14" i="20"/>
  <c r="Q13" i="20"/>
  <c r="P13" i="20"/>
  <c r="Q12" i="20"/>
  <c r="P12" i="20"/>
  <c r="Q11" i="20"/>
  <c r="P11" i="20"/>
  <c r="Q10" i="20"/>
  <c r="P10" i="20"/>
  <c r="Q9" i="20"/>
  <c r="P9" i="20"/>
  <c r="Q8" i="20"/>
  <c r="P8" i="20"/>
  <c r="Q7" i="20"/>
  <c r="P7" i="20"/>
  <c r="Q6" i="20"/>
  <c r="P6" i="20"/>
  <c r="Q5" i="20"/>
  <c r="P5" i="20"/>
  <c r="Q14" i="19"/>
  <c r="P14" i="19"/>
  <c r="Q13" i="19"/>
  <c r="P13" i="19"/>
  <c r="Q12" i="19"/>
  <c r="P12" i="19"/>
  <c r="Q11" i="19"/>
  <c r="P11" i="19"/>
  <c r="Q10" i="19"/>
  <c r="P10" i="19"/>
  <c r="Q9" i="19"/>
  <c r="P9" i="19"/>
  <c r="Q8" i="19"/>
  <c r="P8" i="19"/>
  <c r="Q7" i="19"/>
  <c r="P7" i="19"/>
  <c r="Q6" i="19"/>
  <c r="P6" i="19"/>
  <c r="Q5" i="19"/>
  <c r="P5" i="19"/>
  <c r="Q14" i="18"/>
  <c r="P14" i="18"/>
  <c r="Q13" i="18"/>
  <c r="P13" i="18"/>
  <c r="Q12" i="18"/>
  <c r="P12" i="18"/>
  <c r="Q11" i="18"/>
  <c r="P11" i="18"/>
  <c r="Q10" i="18"/>
  <c r="P10" i="18"/>
  <c r="Q9" i="18"/>
  <c r="P9" i="18"/>
  <c r="Q8" i="18"/>
  <c r="P8" i="18"/>
  <c r="Q7" i="18"/>
  <c r="P7" i="18"/>
  <c r="Q6" i="18"/>
  <c r="P6" i="18"/>
  <c r="Q5" i="18"/>
  <c r="P5" i="18"/>
  <c r="Q14" i="9"/>
  <c r="P14" i="9"/>
  <c r="Q13" i="9"/>
  <c r="P13" i="9"/>
  <c r="Q12" i="9"/>
  <c r="P12" i="9"/>
  <c r="Q11" i="9"/>
  <c r="P11" i="9"/>
  <c r="Q10" i="9"/>
  <c r="P10" i="9"/>
  <c r="Q9" i="9"/>
  <c r="P9" i="9"/>
  <c r="Q8" i="9"/>
  <c r="P8" i="9"/>
  <c r="Q7" i="9"/>
  <c r="P7" i="9"/>
  <c r="Q6" i="9"/>
  <c r="P6" i="9"/>
  <c r="Q5" i="9"/>
  <c r="P5" i="9"/>
  <c r="Q14" i="17"/>
  <c r="P14" i="17"/>
  <c r="Q13" i="17"/>
  <c r="P13" i="17"/>
  <c r="Q12" i="17"/>
  <c r="P12" i="17"/>
  <c r="Q11" i="17"/>
  <c r="P11" i="17"/>
  <c r="Q10" i="17"/>
  <c r="P10" i="17"/>
  <c r="Q9" i="17"/>
  <c r="P9" i="17"/>
  <c r="Q8" i="17"/>
  <c r="P8" i="17"/>
  <c r="Q7" i="17"/>
  <c r="P7" i="17"/>
  <c r="Q6" i="17"/>
  <c r="P6" i="17"/>
  <c r="Q5" i="17"/>
  <c r="P5" i="17"/>
  <c r="Q14" i="15"/>
  <c r="P14" i="15"/>
  <c r="Q13" i="15"/>
  <c r="P13" i="15"/>
  <c r="Q12" i="15"/>
  <c r="P12" i="15"/>
  <c r="Q11" i="15"/>
  <c r="P11" i="15"/>
  <c r="Q10" i="15"/>
  <c r="P10" i="15"/>
  <c r="Q9" i="15"/>
  <c r="P9" i="15"/>
  <c r="Q8" i="15"/>
  <c r="P8" i="15"/>
  <c r="Q7" i="15"/>
  <c r="P7" i="15"/>
  <c r="Q6" i="15"/>
  <c r="P6" i="15"/>
  <c r="Q14" i="4"/>
  <c r="P14" i="4"/>
  <c r="Q13" i="4"/>
  <c r="P13" i="4"/>
  <c r="Q12" i="4"/>
  <c r="P12" i="4"/>
  <c r="Q11" i="4"/>
  <c r="P11" i="4"/>
  <c r="Q10" i="4"/>
  <c r="P10" i="4"/>
  <c r="Q9" i="4"/>
  <c r="P9" i="4"/>
  <c r="Q8" i="4"/>
  <c r="P8" i="4"/>
  <c r="Q7" i="4"/>
  <c r="P7" i="4"/>
  <c r="Q6" i="4"/>
  <c r="P6" i="4"/>
  <c r="Q5" i="4"/>
  <c r="P5" i="4"/>
  <c r="P6" i="16"/>
  <c r="Q6" i="16"/>
  <c r="P7" i="16"/>
  <c r="Q7" i="16"/>
  <c r="P8" i="16"/>
  <c r="Q8" i="16"/>
  <c r="P9" i="16"/>
  <c r="Q9" i="16"/>
  <c r="P10" i="16"/>
  <c r="Q10" i="16"/>
  <c r="P11" i="16"/>
  <c r="Q11" i="16"/>
  <c r="P12" i="16"/>
  <c r="Q12" i="16"/>
  <c r="P13" i="16"/>
  <c r="Q13" i="16"/>
  <c r="P14" i="16"/>
  <c r="Q14" i="16"/>
  <c r="Q5" i="16"/>
  <c r="P5" i="16"/>
  <c r="L30" i="16"/>
  <c r="L31" i="16"/>
  <c r="L32" i="16"/>
  <c r="L33" i="16"/>
  <c r="L25" i="16"/>
  <c r="L26" i="16"/>
  <c r="S26" i="16"/>
  <c r="L5" i="16"/>
  <c r="L6" i="16"/>
  <c r="L7" i="16"/>
  <c r="L8" i="16"/>
  <c r="L9" i="16"/>
  <c r="L10" i="16"/>
  <c r="L11" i="16"/>
  <c r="L12" i="16"/>
  <c r="L13" i="16"/>
  <c r="L14" i="16"/>
  <c r="L17" i="16"/>
  <c r="L18" i="16"/>
  <c r="L19" i="16"/>
  <c r="L20" i="16"/>
  <c r="L21" i="16"/>
  <c r="L22" i="16"/>
  <c r="L23" i="16"/>
  <c r="L24" i="16"/>
  <c r="L27" i="16"/>
  <c r="L28" i="16"/>
  <c r="L29" i="16"/>
  <c r="L33" i="23"/>
  <c r="L32" i="23"/>
  <c r="L31" i="23"/>
  <c r="L30" i="23"/>
  <c r="L29" i="23"/>
  <c r="L28" i="23"/>
  <c r="L27" i="23"/>
  <c r="L26" i="23"/>
  <c r="L25" i="23"/>
  <c r="L24" i="23"/>
  <c r="L23" i="23"/>
  <c r="L22" i="23"/>
  <c r="L21" i="23"/>
  <c r="L20" i="23"/>
  <c r="L19" i="23"/>
  <c r="L18" i="23"/>
  <c r="L17" i="23"/>
  <c r="S14" i="23" s="1"/>
  <c r="L14" i="23"/>
  <c r="L13" i="23"/>
  <c r="L12" i="23"/>
  <c r="L11" i="23"/>
  <c r="L10" i="23"/>
  <c r="L9" i="23"/>
  <c r="L8" i="23"/>
  <c r="L7" i="23"/>
  <c r="L6" i="23"/>
  <c r="L5" i="23"/>
  <c r="L33" i="22"/>
  <c r="L32" i="22"/>
  <c r="L31" i="22"/>
  <c r="L30" i="22"/>
  <c r="L29" i="22"/>
  <c r="L28" i="22"/>
  <c r="S27" i="22"/>
  <c r="L27" i="22"/>
  <c r="L26" i="22"/>
  <c r="L25" i="22"/>
  <c r="L24" i="22"/>
  <c r="L23" i="22"/>
  <c r="L22" i="22"/>
  <c r="L21" i="22"/>
  <c r="L20" i="22"/>
  <c r="L19" i="22"/>
  <c r="O19" i="22" s="1"/>
  <c r="L18" i="22"/>
  <c r="O18" i="22" s="1"/>
  <c r="O17" i="22"/>
  <c r="L17" i="22"/>
  <c r="S14" i="22" s="1"/>
  <c r="L14" i="22"/>
  <c r="L13" i="22"/>
  <c r="L12" i="22"/>
  <c r="L11" i="22"/>
  <c r="L10" i="22"/>
  <c r="L9" i="22"/>
  <c r="L8" i="22"/>
  <c r="L7" i="22"/>
  <c r="L6" i="22"/>
  <c r="L5" i="22"/>
  <c r="L33" i="21"/>
  <c r="L32" i="21"/>
  <c r="L31" i="21"/>
  <c r="L30" i="21"/>
  <c r="L29" i="21"/>
  <c r="L28" i="21"/>
  <c r="L27" i="21"/>
  <c r="S26" i="21"/>
  <c r="L26" i="21"/>
  <c r="L25" i="21"/>
  <c r="L24" i="21"/>
  <c r="L23" i="21"/>
  <c r="L22" i="21"/>
  <c r="L21" i="21"/>
  <c r="L20" i="21"/>
  <c r="L19" i="21"/>
  <c r="O19" i="21" s="1"/>
  <c r="L18" i="21"/>
  <c r="L17" i="21"/>
  <c r="S14" i="21" s="1"/>
  <c r="L14" i="21"/>
  <c r="L13" i="21"/>
  <c r="L12" i="21"/>
  <c r="L11" i="21"/>
  <c r="L10" i="21"/>
  <c r="L9" i="21"/>
  <c r="L8" i="21"/>
  <c r="L7" i="21"/>
  <c r="L6" i="21"/>
  <c r="L5" i="21"/>
  <c r="L33" i="20"/>
  <c r="L32" i="20"/>
  <c r="L31" i="20"/>
  <c r="S30" i="20"/>
  <c r="L30" i="20"/>
  <c r="L29" i="20"/>
  <c r="L28" i="20"/>
  <c r="L27" i="20"/>
  <c r="L26" i="20"/>
  <c r="L25" i="20"/>
  <c r="L24" i="20"/>
  <c r="L23" i="20"/>
  <c r="L22" i="20"/>
  <c r="L21" i="20"/>
  <c r="L20" i="20"/>
  <c r="L19" i="20"/>
  <c r="L18" i="20"/>
  <c r="L17" i="20"/>
  <c r="S14" i="20" s="1"/>
  <c r="L14" i="20"/>
  <c r="L13" i="20"/>
  <c r="L12" i="20"/>
  <c r="L11" i="20"/>
  <c r="L10" i="20"/>
  <c r="L9" i="20"/>
  <c r="L8" i="20"/>
  <c r="L7" i="20"/>
  <c r="L6" i="20"/>
  <c r="L5" i="20"/>
  <c r="L33" i="19"/>
  <c r="L32" i="19"/>
  <c r="L31" i="19"/>
  <c r="L30" i="19"/>
  <c r="L29" i="19"/>
  <c r="L28" i="19"/>
  <c r="L27" i="19"/>
  <c r="S26" i="19"/>
  <c r="L26" i="19"/>
  <c r="L25" i="19"/>
  <c r="L24" i="19"/>
  <c r="L23" i="19"/>
  <c r="L22" i="19"/>
  <c r="L21" i="19"/>
  <c r="L20" i="19"/>
  <c r="L19" i="19"/>
  <c r="L18" i="19"/>
  <c r="L17" i="19"/>
  <c r="S14" i="19" s="1"/>
  <c r="L14" i="19"/>
  <c r="L13" i="19"/>
  <c r="L12" i="19"/>
  <c r="L11" i="19"/>
  <c r="L10" i="19"/>
  <c r="L9" i="19"/>
  <c r="L8" i="19"/>
  <c r="L7" i="19"/>
  <c r="L6" i="19"/>
  <c r="L5" i="19"/>
  <c r="L33" i="18"/>
  <c r="L32" i="18"/>
  <c r="L31" i="18"/>
  <c r="L30" i="18"/>
  <c r="L29" i="18"/>
  <c r="L28" i="18"/>
  <c r="L27" i="18"/>
  <c r="L26" i="18"/>
  <c r="L25" i="18"/>
  <c r="L24" i="18"/>
  <c r="L23" i="18"/>
  <c r="L22" i="18"/>
  <c r="L21" i="18"/>
  <c r="L20" i="18"/>
  <c r="L19" i="18"/>
  <c r="L18" i="18"/>
  <c r="L17" i="18"/>
  <c r="L14" i="18"/>
  <c r="L13" i="18"/>
  <c r="L12" i="18"/>
  <c r="L11" i="18"/>
  <c r="L10" i="18"/>
  <c r="L9" i="18"/>
  <c r="L8" i="18"/>
  <c r="L7" i="18"/>
  <c r="L6" i="18"/>
  <c r="L5" i="18"/>
  <c r="L33" i="9"/>
  <c r="L32" i="9"/>
  <c r="L31" i="9"/>
  <c r="L30" i="9"/>
  <c r="L29" i="9"/>
  <c r="L28" i="9"/>
  <c r="L27" i="9"/>
  <c r="S26" i="9"/>
  <c r="L26" i="9"/>
  <c r="L25" i="9"/>
  <c r="L24" i="9"/>
  <c r="L23" i="9"/>
  <c r="L22" i="9"/>
  <c r="L21" i="9"/>
  <c r="L20" i="9"/>
  <c r="L19" i="9"/>
  <c r="L18" i="9"/>
  <c r="L17" i="9"/>
  <c r="L14" i="9"/>
  <c r="L13" i="9"/>
  <c r="L12" i="9"/>
  <c r="L11" i="9"/>
  <c r="L10" i="9"/>
  <c r="L9" i="9"/>
  <c r="L8" i="9"/>
  <c r="L7" i="9"/>
  <c r="L6" i="9"/>
  <c r="L5" i="9"/>
  <c r="L33" i="17"/>
  <c r="L32" i="17"/>
  <c r="L31" i="17"/>
  <c r="L30" i="17"/>
  <c r="L29" i="17"/>
  <c r="L28" i="17"/>
  <c r="L27" i="17"/>
  <c r="L26" i="17"/>
  <c r="L25" i="17"/>
  <c r="L24" i="17"/>
  <c r="L23" i="17"/>
  <c r="L22" i="17"/>
  <c r="L21" i="17"/>
  <c r="L20" i="17"/>
  <c r="L19" i="17"/>
  <c r="L18" i="17"/>
  <c r="L17" i="17"/>
  <c r="S14" i="17" s="1"/>
  <c r="L14" i="17"/>
  <c r="L13" i="17"/>
  <c r="L12" i="17"/>
  <c r="L11" i="17"/>
  <c r="L10" i="17"/>
  <c r="L9" i="17"/>
  <c r="L8" i="17"/>
  <c r="L7" i="17"/>
  <c r="L6" i="17"/>
  <c r="L5" i="17"/>
  <c r="L33" i="4"/>
  <c r="L32" i="4"/>
  <c r="L31" i="4"/>
  <c r="L30" i="4"/>
  <c r="L29" i="4"/>
  <c r="L28" i="4"/>
  <c r="L27" i="4"/>
  <c r="L26" i="4"/>
  <c r="L25" i="4"/>
  <c r="L24" i="4"/>
  <c r="L23" i="4"/>
  <c r="L22" i="4"/>
  <c r="L21" i="4"/>
  <c r="L20" i="4"/>
  <c r="L19" i="4"/>
  <c r="L18" i="4"/>
  <c r="L17" i="4"/>
  <c r="S14" i="4" s="1"/>
  <c r="L14" i="4"/>
  <c r="L13" i="4"/>
  <c r="L12" i="4"/>
  <c r="L11" i="4"/>
  <c r="L10" i="4"/>
  <c r="L9" i="4"/>
  <c r="L8" i="4"/>
  <c r="L7" i="4"/>
  <c r="L6" i="4"/>
  <c r="L5" i="4"/>
  <c r="L29" i="15"/>
  <c r="L30" i="15"/>
  <c r="L31" i="15"/>
  <c r="L32" i="15"/>
  <c r="L33" i="15"/>
  <c r="S14" i="18" l="1"/>
  <c r="S14" i="9"/>
  <c r="S5" i="16"/>
  <c r="S25" i="16"/>
  <c r="O18" i="16"/>
  <c r="S30" i="16"/>
  <c r="S8" i="16"/>
  <c r="O18" i="17"/>
  <c r="O19" i="18"/>
  <c r="S26" i="18"/>
  <c r="S26" i="23"/>
  <c r="S28" i="16"/>
  <c r="S30" i="19"/>
  <c r="S26" i="20"/>
  <c r="S31" i="22"/>
  <c r="S32" i="16"/>
  <c r="S12" i="16"/>
  <c r="O18" i="18"/>
  <c r="S31" i="16"/>
  <c r="S27" i="16"/>
  <c r="O17" i="16"/>
  <c r="N17" i="16"/>
  <c r="S11" i="16"/>
  <c r="S7" i="16"/>
  <c r="S14" i="16"/>
  <c r="S10" i="16"/>
  <c r="S6" i="16"/>
  <c r="O19" i="16"/>
  <c r="S33" i="16"/>
  <c r="S29" i="16"/>
  <c r="S13" i="16"/>
  <c r="S9" i="16"/>
  <c r="S7" i="23"/>
  <c r="S11" i="23"/>
  <c r="N17" i="23"/>
  <c r="S30" i="23"/>
  <c r="O17" i="23"/>
  <c r="S27" i="23"/>
  <c r="S31" i="23"/>
  <c r="S8" i="23"/>
  <c r="S12" i="23"/>
  <c r="O18" i="23"/>
  <c r="S24" i="23"/>
  <c r="S28" i="23"/>
  <c r="S32" i="23"/>
  <c r="S5" i="23"/>
  <c r="S9" i="23"/>
  <c r="S13" i="23"/>
  <c r="O19" i="23"/>
  <c r="S25" i="23"/>
  <c r="S29" i="23"/>
  <c r="S33" i="23"/>
  <c r="S6" i="23"/>
  <c r="S10" i="23"/>
  <c r="S26" i="22"/>
  <c r="S30" i="22"/>
  <c r="S7" i="22"/>
  <c r="S11" i="22"/>
  <c r="N17" i="22"/>
  <c r="S12" i="22"/>
  <c r="S24" i="22"/>
  <c r="S28" i="22"/>
  <c r="S32" i="22"/>
  <c r="S8" i="22"/>
  <c r="S5" i="22"/>
  <c r="S9" i="22"/>
  <c r="S13" i="22"/>
  <c r="S25" i="22"/>
  <c r="S29" i="22"/>
  <c r="S33" i="22"/>
  <c r="S6" i="22"/>
  <c r="S10" i="22"/>
  <c r="S30" i="21"/>
  <c r="S7" i="21"/>
  <c r="S11" i="21"/>
  <c r="N17" i="21"/>
  <c r="O17" i="21"/>
  <c r="S27" i="21"/>
  <c r="S31" i="21"/>
  <c r="S8" i="21"/>
  <c r="S12" i="21"/>
  <c r="O18" i="21"/>
  <c r="S24" i="21"/>
  <c r="S28" i="21"/>
  <c r="S32" i="21"/>
  <c r="S5" i="21"/>
  <c r="S9" i="21"/>
  <c r="S13" i="21"/>
  <c r="S25" i="21"/>
  <c r="S29" i="21"/>
  <c r="S33" i="21"/>
  <c r="S6" i="21"/>
  <c r="S10" i="21"/>
  <c r="O17" i="20"/>
  <c r="S27" i="20"/>
  <c r="S31" i="20"/>
  <c r="S8" i="20"/>
  <c r="S12" i="20"/>
  <c r="O18" i="20"/>
  <c r="S24" i="20"/>
  <c r="S28" i="20"/>
  <c r="S32" i="20"/>
  <c r="N17" i="20"/>
  <c r="S5" i="20"/>
  <c r="S9" i="20"/>
  <c r="S13" i="20"/>
  <c r="S11" i="20"/>
  <c r="O19" i="20"/>
  <c r="S25" i="20"/>
  <c r="S29" i="20"/>
  <c r="S33" i="20"/>
  <c r="S7" i="20"/>
  <c r="S6" i="20"/>
  <c r="S10" i="20"/>
  <c r="S7" i="19"/>
  <c r="S11" i="19"/>
  <c r="N17" i="19"/>
  <c r="O17" i="19"/>
  <c r="S27" i="19"/>
  <c r="S31" i="19"/>
  <c r="S8" i="19"/>
  <c r="S12" i="19"/>
  <c r="O18" i="19"/>
  <c r="S28" i="19"/>
  <c r="S32" i="19"/>
  <c r="S5" i="19"/>
  <c r="S9" i="19"/>
  <c r="S13" i="19"/>
  <c r="O19" i="19"/>
  <c r="S25" i="19"/>
  <c r="S29" i="19"/>
  <c r="S33" i="19"/>
  <c r="S6" i="19"/>
  <c r="S10" i="19"/>
  <c r="S30" i="18"/>
  <c r="S7" i="18"/>
  <c r="S11" i="18"/>
  <c r="N17" i="18"/>
  <c r="O17" i="18"/>
  <c r="S27" i="18"/>
  <c r="S31" i="18"/>
  <c r="S8" i="18"/>
  <c r="S12" i="18"/>
  <c r="S24" i="18"/>
  <c r="S28" i="18"/>
  <c r="S32" i="18"/>
  <c r="S5" i="18"/>
  <c r="S9" i="18"/>
  <c r="S13" i="18"/>
  <c r="S25" i="18"/>
  <c r="S29" i="18"/>
  <c r="S33" i="18"/>
  <c r="S6" i="18"/>
  <c r="S10" i="18"/>
  <c r="S30" i="9"/>
  <c r="S7" i="9"/>
  <c r="S11" i="9"/>
  <c r="N17" i="9"/>
  <c r="O17" i="9"/>
  <c r="S27" i="9"/>
  <c r="S31" i="9"/>
  <c r="S8" i="9"/>
  <c r="S12" i="9"/>
  <c r="O18" i="9"/>
  <c r="S28" i="9"/>
  <c r="S32" i="9"/>
  <c r="S5" i="9"/>
  <c r="S9" i="9"/>
  <c r="S13" i="9"/>
  <c r="O19" i="9"/>
  <c r="S25" i="9"/>
  <c r="S29" i="9"/>
  <c r="S33" i="9"/>
  <c r="S6" i="9"/>
  <c r="S10" i="9"/>
  <c r="S7" i="17"/>
  <c r="N17" i="17"/>
  <c r="S31" i="17"/>
  <c r="S24" i="17"/>
  <c r="S28" i="17"/>
  <c r="S32" i="17"/>
  <c r="S11" i="17"/>
  <c r="O17" i="17"/>
  <c r="S8" i="17"/>
  <c r="S5" i="17"/>
  <c r="S9" i="17"/>
  <c r="S13" i="17"/>
  <c r="S26" i="17"/>
  <c r="S27" i="17"/>
  <c r="O19" i="17"/>
  <c r="S25" i="17"/>
  <c r="S29" i="17"/>
  <c r="S33" i="17"/>
  <c r="S30" i="17"/>
  <c r="S12" i="17"/>
  <c r="S6" i="17"/>
  <c r="S10" i="17"/>
  <c r="S30" i="4"/>
  <c r="S7" i="4"/>
  <c r="S11" i="4"/>
  <c r="N17" i="4"/>
  <c r="S26" i="4"/>
  <c r="O17" i="4"/>
  <c r="S27" i="4"/>
  <c r="S31" i="4"/>
  <c r="S8" i="4"/>
  <c r="S12" i="4"/>
  <c r="O18" i="4"/>
  <c r="S24" i="4"/>
  <c r="S28" i="4"/>
  <c r="S32" i="4"/>
  <c r="S5" i="4"/>
  <c r="S9" i="4"/>
  <c r="S13" i="4"/>
  <c r="O19" i="4"/>
  <c r="S25" i="4"/>
  <c r="S29" i="4"/>
  <c r="S33" i="4"/>
  <c r="S6" i="4"/>
  <c r="S10" i="4"/>
  <c r="S35" i="16" l="1"/>
  <c r="S35" i="23"/>
  <c r="S35" i="22"/>
  <c r="S35" i="21"/>
  <c r="S35" i="20"/>
  <c r="S35" i="19"/>
  <c r="S35" i="18"/>
  <c r="S35" i="9"/>
  <c r="S35" i="17"/>
  <c r="S35" i="4"/>
  <c r="L28" i="15" l="1"/>
  <c r="L27" i="15"/>
  <c r="L26" i="15"/>
  <c r="L25" i="15"/>
  <c r="L24" i="15"/>
  <c r="L23" i="15"/>
  <c r="L22" i="15"/>
  <c r="L21" i="15"/>
  <c r="L20" i="15"/>
  <c r="L19" i="15"/>
  <c r="L18" i="15"/>
  <c r="L17" i="15"/>
  <c r="L6" i="15"/>
  <c r="L7" i="15"/>
  <c r="L8" i="15"/>
  <c r="L9" i="15"/>
  <c r="L10" i="15"/>
  <c r="L11" i="15"/>
  <c r="L12" i="15"/>
  <c r="L13" i="15"/>
  <c r="L14" i="15"/>
  <c r="L5" i="15"/>
  <c r="C18" i="28"/>
  <c r="C19" i="28"/>
  <c r="S31" i="15" l="1"/>
  <c r="S29" i="15"/>
  <c r="S32" i="15"/>
  <c r="S33" i="15"/>
  <c r="S30" i="15"/>
  <c r="N17" i="15"/>
  <c r="S9" i="15"/>
  <c r="S8" i="15"/>
  <c r="S10" i="15"/>
  <c r="S11" i="15"/>
  <c r="S24" i="15"/>
  <c r="S12" i="15"/>
  <c r="S25" i="15"/>
  <c r="S5" i="15"/>
  <c r="S13" i="15"/>
  <c r="S26" i="15"/>
  <c r="S6" i="15"/>
  <c r="S14" i="15"/>
  <c r="S27" i="15"/>
  <c r="S7" i="15"/>
  <c r="S28" i="15"/>
  <c r="S35" i="15" l="1"/>
  <c r="F4" i="25"/>
  <c r="G4" i="25" s="1"/>
  <c r="H4" i="25" s="1"/>
  <c r="I4" i="25" s="1"/>
  <c r="J4" i="25" s="1"/>
  <c r="K4" i="25" s="1"/>
  <c r="L4" i="25" s="1"/>
  <c r="M4" i="25" s="1"/>
  <c r="N4" i="25" s="1"/>
  <c r="O4" i="25" s="1"/>
  <c r="P4" i="25" s="1"/>
  <c r="Q4" i="25" s="1"/>
  <c r="R4" i="25" s="1"/>
  <c r="S4" i="25" s="1"/>
  <c r="T4" i="25" s="1"/>
  <c r="F15" i="25"/>
  <c r="G15" i="25" s="1"/>
  <c r="H15" i="25" s="1"/>
  <c r="I15" i="25" s="1"/>
  <c r="J15" i="25" s="1"/>
  <c r="K15" i="25" s="1"/>
  <c r="L15" i="25" s="1"/>
  <c r="M15" i="25" s="1"/>
  <c r="N15" i="25" s="1"/>
  <c r="O15" i="25" s="1"/>
  <c r="P15" i="25" s="1"/>
  <c r="Q15" i="25" s="1"/>
  <c r="R15" i="25" s="1"/>
  <c r="S15" i="25" s="1"/>
  <c r="T15" i="25" s="1"/>
  <c r="U15" i="25" s="1"/>
  <c r="V15" i="25" s="1"/>
  <c r="W15" i="25" s="1"/>
  <c r="X15" i="25" s="1"/>
  <c r="Y15" i="25" s="1"/>
  <c r="Z15" i="25" s="1"/>
  <c r="AA15" i="25" s="1"/>
  <c r="AB15" i="25" s="1"/>
  <c r="AC15" i="25" s="1"/>
  <c r="AD15" i="25" s="1"/>
  <c r="AE15" i="25" s="1"/>
  <c r="AF15" i="25" s="1"/>
  <c r="G17" i="25"/>
  <c r="H17" i="25"/>
  <c r="I17" i="25"/>
  <c r="J17" i="25"/>
  <c r="K17" i="25"/>
  <c r="L17" i="25"/>
  <c r="M17" i="25"/>
  <c r="N17" i="25"/>
  <c r="O17" i="25"/>
  <c r="P17" i="25"/>
  <c r="Q17" i="25"/>
  <c r="R17" i="25"/>
  <c r="S17" i="25"/>
  <c r="T17" i="25"/>
  <c r="U17" i="25"/>
  <c r="V17" i="25"/>
  <c r="W17" i="25"/>
  <c r="X17" i="25"/>
  <c r="Y17" i="25"/>
  <c r="Z17" i="25"/>
  <c r="AA17" i="25"/>
  <c r="AB17" i="25"/>
  <c r="AC17" i="25"/>
  <c r="AD17" i="25"/>
  <c r="AE17" i="25"/>
  <c r="AF17" i="25"/>
  <c r="F17" i="25"/>
  <c r="B3" i="24" l="1"/>
  <c r="J16" i="24"/>
  <c r="E13" i="24" l="1"/>
  <c r="I14" i="24"/>
  <c r="I13" i="24" l="1"/>
  <c r="I12" i="24" s="1"/>
  <c r="I11" i="24" s="1"/>
  <c r="I10" i="24" s="1"/>
  <c r="I9" i="24" s="1"/>
  <c r="E12" i="24"/>
  <c r="O19" i="15"/>
  <c r="O18" i="15"/>
  <c r="O17" i="15"/>
  <c r="E11" i="24" l="1"/>
  <c r="E10" i="24" s="1"/>
  <c r="E9" i="24" s="1"/>
  <c r="E8" i="24" s="1"/>
  <c r="E7" i="24" s="1"/>
  <c r="E6" i="24" l="1"/>
  <c r="G7" i="24"/>
  <c r="I8" i="24"/>
  <c r="I7" i="24" l="1"/>
  <c r="I6" i="24" s="1"/>
  <c r="I5" i="24" s="1"/>
  <c r="I4" i="24" s="1"/>
  <c r="I3" i="24" s="1"/>
  <c r="E5" i="24"/>
  <c r="G6" i="24"/>
  <c r="D15" i="24"/>
  <c r="C20" i="28" s="1"/>
  <c r="C17" i="28" s="1"/>
  <c r="G3" i="24" s="1"/>
  <c r="C45" i="7"/>
  <c r="C39" i="7"/>
  <c r="I38" i="7"/>
  <c r="H33" i="7"/>
  <c r="I33" i="7" s="1"/>
  <c r="G33" i="7"/>
  <c r="G38" i="7" s="1"/>
  <c r="F33" i="7"/>
  <c r="F38" i="7" s="1"/>
  <c r="E33" i="7"/>
  <c r="E38" i="7" s="1"/>
  <c r="D33" i="7"/>
  <c r="D36" i="7" s="1"/>
  <c r="F34" i="7" s="1"/>
  <c r="F27" i="7"/>
  <c r="D27" i="7"/>
  <c r="H26" i="7"/>
  <c r="F28" i="7" s="1"/>
  <c r="C26" i="7"/>
  <c r="H25" i="7"/>
  <c r="E28" i="7" s="1"/>
  <c r="D25" i="7"/>
  <c r="E24" i="7" s="1"/>
  <c r="H24" i="7"/>
  <c r="D28" i="7" s="1"/>
  <c r="C24" i="7"/>
  <c r="C28" i="7"/>
  <c r="E23" i="7"/>
  <c r="G18" i="7"/>
  <c r="F17" i="7"/>
  <c r="F18" i="7" s="1"/>
  <c r="E17" i="7"/>
  <c r="E18" i="7" s="1"/>
  <c r="D17" i="7"/>
  <c r="D18" i="7" s="1"/>
  <c r="C17" i="7"/>
  <c r="C18" i="7" s="1"/>
  <c r="H16" i="7"/>
  <c r="H15" i="7"/>
  <c r="D15" i="7"/>
  <c r="H14" i="7"/>
  <c r="H13" i="7"/>
  <c r="F13" i="7"/>
  <c r="C16" i="7" s="1"/>
  <c r="E13" i="7"/>
  <c r="C15" i="7" s="1"/>
  <c r="E8" i="7"/>
  <c r="G7" i="7"/>
  <c r="E7" i="7"/>
  <c r="C7" i="7"/>
  <c r="F6" i="7"/>
  <c r="D6" i="7"/>
  <c r="C6" i="7"/>
  <c r="G5" i="7"/>
  <c r="E5" i="7"/>
  <c r="C5" i="7"/>
  <c r="E4" i="7"/>
  <c r="E4" i="24" l="1"/>
  <c r="G5" i="24"/>
  <c r="E26" i="7"/>
  <c r="F25" i="7" s="1"/>
  <c r="E37" i="7"/>
  <c r="G35" i="7" s="1"/>
  <c r="H35" i="7"/>
  <c r="I35" i="7" s="1"/>
  <c r="E39" i="7"/>
  <c r="E16" i="7"/>
  <c r="D16" i="7"/>
  <c r="H36" i="7"/>
  <c r="I36" i="7" s="1"/>
  <c r="F39" i="7"/>
  <c r="H37" i="7"/>
  <c r="I37" i="7" s="1"/>
  <c r="G39" i="7"/>
  <c r="D26" i="7"/>
  <c r="F24" i="7" s="1"/>
  <c r="E36" i="7"/>
  <c r="F35" i="7" s="1"/>
  <c r="D37" i="7"/>
  <c r="G34" i="7" s="1"/>
  <c r="E27" i="7"/>
  <c r="D38" i="7"/>
  <c r="D35" i="7"/>
  <c r="E34" i="7" s="1"/>
  <c r="F37" i="7"/>
  <c r="G36" i="7" s="1"/>
  <c r="G4" i="24" l="1"/>
  <c r="D39" i="7"/>
  <c r="H34" i="7"/>
  <c r="I34" i="7" s="1"/>
  <c r="G11" i="24" l="1"/>
  <c r="G12" i="24"/>
  <c r="G9" i="24"/>
  <c r="G14" i="24"/>
  <c r="G10" i="24"/>
  <c r="G13" i="24"/>
  <c r="G8" i="24" l="1"/>
  <c r="J15"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Taylor</author>
  </authors>
  <commentList>
    <comment ref="B3" authorId="0" shapeId="0" xr:uid="{00000000-0006-0000-0200-000001000000}">
      <text>
        <r>
          <rPr>
            <b/>
            <sz val="9"/>
            <color indexed="81"/>
            <rFont val="Tahoma"/>
            <family val="2"/>
          </rPr>
          <t>Richard Taylor:</t>
        </r>
        <r>
          <rPr>
            <sz val="9"/>
            <color indexed="81"/>
            <rFont val="Tahoma"/>
            <family val="2"/>
          </rPr>
          <t xml:space="preserve">
multiply by the factor to get "From" "To"</t>
        </r>
      </text>
    </comment>
    <comment ref="B4" authorId="0" shapeId="0" xr:uid="{00000000-0006-0000-0200-000002000000}">
      <text>
        <r>
          <rPr>
            <b/>
            <sz val="9"/>
            <color indexed="81"/>
            <rFont val="Tahoma"/>
            <family val="2"/>
          </rPr>
          <t>Richard Taylor:</t>
        </r>
        <r>
          <rPr>
            <sz val="9"/>
            <color indexed="81"/>
            <rFont val="Tahoma"/>
            <family val="2"/>
          </rPr>
          <t xml:space="preserve">
1 Joule is the energy required to move 1 kg of mass through a distance of 1 meter with speed in meters per second increasing at the rate of 1 meter per second.</t>
        </r>
      </text>
    </comment>
    <comment ref="B7" authorId="0" shapeId="0" xr:uid="{00000000-0006-0000-0200-000003000000}">
      <text>
        <r>
          <rPr>
            <b/>
            <sz val="9"/>
            <color indexed="81"/>
            <rFont val="Tahoma"/>
            <family val="2"/>
          </rPr>
          <t>Richard Taylor:</t>
        </r>
        <r>
          <rPr>
            <sz val="9"/>
            <color indexed="81"/>
            <rFont val="Tahoma"/>
            <family val="2"/>
          </rPr>
          <t xml:space="preserve">
1 Btu or British thermal unit is the energy required to raise the temperature of a pound of water from 60 to 61 degrees Fahernheit. 1 Therm = 100,000 Btu</t>
        </r>
      </text>
    </comment>
    <comment ref="B12" authorId="0" shapeId="0" xr:uid="{00000000-0006-0000-0200-000005000000}">
      <text>
        <r>
          <rPr>
            <b/>
            <sz val="9"/>
            <color indexed="81"/>
            <rFont val="Tahoma"/>
            <family val="2"/>
          </rPr>
          <t>Richard Taylor:</t>
        </r>
        <r>
          <rPr>
            <sz val="9"/>
            <color indexed="81"/>
            <rFont val="Tahoma"/>
            <family val="2"/>
          </rPr>
          <t xml:space="preserve">
multiply by the factor to get "From" "To"</t>
        </r>
      </text>
    </comment>
    <comment ref="B22" authorId="0" shapeId="0" xr:uid="{00000000-0006-0000-0200-000006000000}">
      <text>
        <r>
          <rPr>
            <b/>
            <sz val="9"/>
            <color indexed="81"/>
            <rFont val="Tahoma"/>
            <family val="2"/>
          </rPr>
          <t>Richard Taylor:</t>
        </r>
        <r>
          <rPr>
            <sz val="9"/>
            <color indexed="81"/>
            <rFont val="Tahoma"/>
            <family val="2"/>
          </rPr>
          <t xml:space="preserve">
multiply by the factor to get "From" "To"</t>
        </r>
      </text>
    </comment>
    <comment ref="B32" authorId="0" shapeId="0" xr:uid="{00000000-0006-0000-0200-000007000000}">
      <text>
        <r>
          <rPr>
            <b/>
            <sz val="9"/>
            <color indexed="81"/>
            <rFont val="Tahoma"/>
            <family val="2"/>
          </rPr>
          <t>Richard Taylor:</t>
        </r>
        <r>
          <rPr>
            <sz val="9"/>
            <color indexed="81"/>
            <rFont val="Tahoma"/>
            <family val="2"/>
          </rPr>
          <t xml:space="preserve">
multiply by the factor to get "From" "To"</t>
        </r>
      </text>
    </comment>
    <comment ref="B43" authorId="0" shapeId="0" xr:uid="{00000000-0006-0000-0200-000008000000}">
      <text>
        <r>
          <rPr>
            <b/>
            <sz val="9"/>
            <color indexed="81"/>
            <rFont val="Tahoma"/>
            <family val="2"/>
          </rPr>
          <t>Richard Taylor:</t>
        </r>
        <r>
          <rPr>
            <sz val="9"/>
            <color indexed="81"/>
            <rFont val="Tahoma"/>
            <family val="2"/>
          </rPr>
          <t xml:space="preserve">
multiply by the factor to get "From" "To"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B31B86CB-F8AE-4259-A27A-E696760F98DB}">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FD973D92-B280-46A9-A847-9B9EDB5A04EA}">
      <text>
        <r>
          <rPr>
            <sz val="9"/>
            <color indexed="81"/>
            <rFont val="Tahoma"/>
            <family val="2"/>
          </rPr>
          <t>Recycle loops are not included in GHG calculations, as they do not cross the system boundary</t>
        </r>
      </text>
    </comment>
    <comment ref="J2" authorId="1" shapeId="0" xr:uid="{E4F096CF-291F-4B0C-98B8-34A2BB9D2CAD}">
      <text>
        <r>
          <rPr>
            <sz val="9"/>
            <color indexed="81"/>
            <rFont val="Tahoma"/>
            <family val="2"/>
          </rPr>
          <t>will be 0 for some inputs or outputs,  e.g. some chemicals will not have an LHV, or e.g. cold water</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705C61C3-0EA7-4A02-8CE4-420E4E5F1F92}">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5782775E-FAC3-4FD6-9FA9-0E79715F0F23}">
      <text>
        <r>
          <rPr>
            <sz val="9"/>
            <color indexed="81"/>
            <rFont val="Tahoma"/>
            <family val="2"/>
          </rPr>
          <t>Recycle loops are not included in GHG calculations, as they do not cross the system boundary</t>
        </r>
      </text>
    </comment>
    <comment ref="J2" authorId="1" shapeId="0" xr:uid="{BEB36FC0-3EF1-4E1A-B69D-4208B3B85EC2}">
      <text>
        <r>
          <rPr>
            <sz val="9"/>
            <color indexed="81"/>
            <rFont val="Tahoma"/>
            <family val="2"/>
          </rPr>
          <t>will be 0 for some inputs or outputs,  e.g. some chemicals will not have an LHV, or e.g. cold water</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BA4E7C56-A75B-4B3A-9A66-1B3FB59FD4DC}">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7B7D60AE-AD09-4EEE-BEF0-679B4A1715D4}">
      <text>
        <r>
          <rPr>
            <sz val="9"/>
            <color indexed="81"/>
            <rFont val="Tahoma"/>
            <family val="2"/>
          </rPr>
          <t>Recycle loops are not included in GHG calculations, as they do not cross the system boundary</t>
        </r>
      </text>
    </comment>
    <comment ref="J2" authorId="1" shapeId="0" xr:uid="{0EA8894E-8573-4DC7-B323-573004F2A18B}">
      <text>
        <r>
          <rPr>
            <sz val="9"/>
            <color indexed="81"/>
            <rFont val="Tahoma"/>
            <family val="2"/>
          </rPr>
          <t>will be 0 for some inputs or outputs,  e.g. some chemicals will not have an LHV, or e.g. cold water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00000000-0006-0000-07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00000000-0006-0000-0700-000002000000}">
      <text>
        <r>
          <rPr>
            <sz val="9"/>
            <color indexed="81"/>
            <rFont val="Tahoma"/>
            <family val="2"/>
          </rPr>
          <t>Recycle loops are not included in GHG calculations, as they do not cross the system boundary</t>
        </r>
      </text>
    </comment>
    <comment ref="J2" authorId="1" shapeId="0" xr:uid="{00000000-0006-0000-0700-000003000000}">
      <text>
        <r>
          <rPr>
            <sz val="9"/>
            <color indexed="81"/>
            <rFont val="Tahoma"/>
            <family val="2"/>
          </rPr>
          <t>will be 0 for some inputs or outputs,  e.g. some chemicals will not have an LHV, or e.g. cold water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848F0E41-035B-49AE-945A-7D2E33AC9019}">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76920BF0-DF97-4A9E-80BB-B8060A52A16C}">
      <text>
        <r>
          <rPr>
            <sz val="9"/>
            <color indexed="81"/>
            <rFont val="Tahoma"/>
            <family val="2"/>
          </rPr>
          <t>Recycle loops are not included in GHG calculations, as they do not cross the system boundary</t>
        </r>
      </text>
    </comment>
    <comment ref="J2" authorId="1" shapeId="0" xr:uid="{3EA9352A-F1CD-4FFF-A29E-733FEC535656}">
      <text>
        <r>
          <rPr>
            <sz val="9"/>
            <color indexed="81"/>
            <rFont val="Tahoma"/>
            <family val="2"/>
          </rPr>
          <t>will be 0 for some inputs or outputs,  e.g. some chemicals will not have an LHV, or e.g. cold water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DE437106-1883-4A27-94C9-1D9900F84D76}">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3FE2D6E0-D9E3-45B6-9142-69BEB2DDAB80}">
      <text>
        <r>
          <rPr>
            <sz val="9"/>
            <color indexed="81"/>
            <rFont val="Tahoma"/>
            <family val="2"/>
          </rPr>
          <t>Recycle loops are not included in GHG calculations, as they do not cross the system boundary</t>
        </r>
      </text>
    </comment>
    <comment ref="J2" authorId="1" shapeId="0" xr:uid="{8562B8F7-C1DA-45ED-8026-4DAD536B51EC}">
      <text>
        <r>
          <rPr>
            <sz val="9"/>
            <color indexed="81"/>
            <rFont val="Tahoma"/>
            <family val="2"/>
          </rPr>
          <t>will be 0 for some inputs or outputs,  e.g. some chemicals will not have an LHV, or e.g. cold water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009DC7DC-BE86-4A89-9052-606CF3983F6D}">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6791E7A4-D193-45C9-8268-02DC34BAC39E}">
      <text>
        <r>
          <rPr>
            <sz val="9"/>
            <color indexed="81"/>
            <rFont val="Tahoma"/>
            <family val="2"/>
          </rPr>
          <t>Recycle loops are not included in GHG calculations, as they do not cross the system boundary</t>
        </r>
      </text>
    </comment>
    <comment ref="J2" authorId="1" shapeId="0" xr:uid="{1127C253-880A-449E-8DB7-823AE0A2D2D2}">
      <text>
        <r>
          <rPr>
            <sz val="9"/>
            <color indexed="81"/>
            <rFont val="Tahoma"/>
            <family val="2"/>
          </rPr>
          <t>will be 0 for some inputs or outputs,  e.g. some chemicals will not have an LHV, or e.g. cold water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B346CE4F-0600-4A36-8E0F-2D6399180112}">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294A8A27-0138-4358-81D9-18187CA22A76}">
      <text>
        <r>
          <rPr>
            <sz val="9"/>
            <color indexed="81"/>
            <rFont val="Tahoma"/>
            <family val="2"/>
          </rPr>
          <t>Recycle loops are not included in GHG calculations, as they do not cross the system boundary</t>
        </r>
      </text>
    </comment>
    <comment ref="J2" authorId="1" shapeId="0" xr:uid="{74121B11-B302-4093-905D-0A2DDF2E2432}">
      <text>
        <r>
          <rPr>
            <sz val="9"/>
            <color indexed="81"/>
            <rFont val="Tahoma"/>
            <family val="2"/>
          </rPr>
          <t>will be 0 for some inputs or outputs,  e.g. some chemicals will not have an LHV, or e.g. cold water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268AC4BC-ED73-440C-8E06-2B03EB0B0DBD}">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42F3A96C-C08D-4A89-B943-0F3EEEC04BF4}">
      <text>
        <r>
          <rPr>
            <sz val="9"/>
            <color indexed="81"/>
            <rFont val="Tahoma"/>
            <family val="2"/>
          </rPr>
          <t>Recycle loops are not included in GHG calculations, as they do not cross the system boundary</t>
        </r>
      </text>
    </comment>
    <comment ref="J2" authorId="1" shapeId="0" xr:uid="{353B46F6-1E66-42EE-AEF1-093CF98108AA}">
      <text>
        <r>
          <rPr>
            <sz val="9"/>
            <color indexed="81"/>
            <rFont val="Tahoma"/>
            <family val="2"/>
          </rPr>
          <t>will be 0 for some inputs or outputs,  e.g. some chemicals will not have an LHV, or e.g. cold water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C2BD982B-61EC-4395-AF27-F217D42347EB}">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8563CC0D-66B9-4C6D-897E-546C86377B05}">
      <text>
        <r>
          <rPr>
            <sz val="9"/>
            <color indexed="81"/>
            <rFont val="Tahoma"/>
            <family val="2"/>
          </rPr>
          <t>Recycle loops are not included in GHG calculations, as they do not cross the system boundary</t>
        </r>
      </text>
    </comment>
    <comment ref="J2" authorId="1" shapeId="0" xr:uid="{D1D64884-56AD-4FC9-85DC-9ADF6BEB633D}">
      <text>
        <r>
          <rPr>
            <sz val="9"/>
            <color indexed="81"/>
            <rFont val="Tahoma"/>
            <family val="2"/>
          </rPr>
          <t>will be 0 for some inputs or outputs,  e.g. some chemicals will not have an LHV, or e.g. cold water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2" authorId="0" shapeId="0" xr:uid="{55D4E812-4C32-408B-A8D9-9C97093FDA3F}">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2" authorId="1" shapeId="0" xr:uid="{4910AC02-3F8C-44D6-AA7E-764D40BA6E10}">
      <text>
        <r>
          <rPr>
            <sz val="9"/>
            <color indexed="81"/>
            <rFont val="Tahoma"/>
            <family val="2"/>
          </rPr>
          <t>Recycle loops are not included in GHG calculations, as they do not cross the system boundary</t>
        </r>
      </text>
    </comment>
    <comment ref="J2" authorId="1" shapeId="0" xr:uid="{4D7CC212-A0FE-4CB6-9F75-E68A1164DB4B}">
      <text>
        <r>
          <rPr>
            <sz val="9"/>
            <color indexed="81"/>
            <rFont val="Tahoma"/>
            <family val="2"/>
          </rPr>
          <t>will be 0 for some inputs or outputs,  e.g. some chemicals will not have an LHV, or e.g. cold water</t>
        </r>
      </text>
    </comment>
  </commentList>
</comments>
</file>

<file path=xl/sharedStrings.xml><?xml version="1.0" encoding="utf-8"?>
<sst xmlns="http://schemas.openxmlformats.org/spreadsheetml/2006/main" count="1477" uniqueCount="386">
  <si>
    <t>Contact details</t>
  </si>
  <si>
    <t>Please include "GHG Template Question" + the project name in the subject line of emails with questions regarding this template</t>
  </si>
  <si>
    <t>Sheet filled by bidder name</t>
  </si>
  <si>
    <t>Bidder email address</t>
  </si>
  <si>
    <t>Legend</t>
  </si>
  <si>
    <t>Cells require data input</t>
  </si>
  <si>
    <t>Calculation cells</t>
  </si>
  <si>
    <t>Cell does not require data input and is not a calculation</t>
  </si>
  <si>
    <t>Units</t>
  </si>
  <si>
    <t>Assumptions</t>
  </si>
  <si>
    <t>System boundary</t>
  </si>
  <si>
    <t>Summary</t>
  </si>
  <si>
    <t>Feedstock collection</t>
  </si>
  <si>
    <t>Feedstock transport</t>
  </si>
  <si>
    <t>Pre-processing</t>
  </si>
  <si>
    <t>Intermediate transport</t>
  </si>
  <si>
    <t>Conversion</t>
  </si>
  <si>
    <t>Further transport</t>
  </si>
  <si>
    <t>Upgrading</t>
  </si>
  <si>
    <t>Fuel distribution 1</t>
  </si>
  <si>
    <t>Fuel storage</t>
  </si>
  <si>
    <t>Fuel distribution 2</t>
  </si>
  <si>
    <t>Energy conversion factors</t>
  </si>
  <si>
    <t>From                                         To</t>
  </si>
  <si>
    <t>TJ</t>
  </si>
  <si>
    <t>Gcal</t>
  </si>
  <si>
    <t>Mtoe</t>
  </si>
  <si>
    <t>Mbtu</t>
  </si>
  <si>
    <t>GWh</t>
  </si>
  <si>
    <t>Terajoule (TJ)</t>
  </si>
  <si>
    <t>GigaCalorie (Gcal)</t>
  </si>
  <si>
    <t>million tonne of oil equivalent (Mtoe)</t>
  </si>
  <si>
    <t>million British thermal unit (Mbtu)</t>
  </si>
  <si>
    <t>GigaWatt hour (GWh)</t>
  </si>
  <si>
    <t>Mass conversion factors</t>
  </si>
  <si>
    <t>kg</t>
  </si>
  <si>
    <t>te</t>
  </si>
  <si>
    <t>lt</t>
  </si>
  <si>
    <t>st</t>
  </si>
  <si>
    <t>lb</t>
  </si>
  <si>
    <t>oz</t>
  </si>
  <si>
    <t>kilogramme (kg)</t>
  </si>
  <si>
    <t>tonne (te)</t>
  </si>
  <si>
    <t>long ton (lt)</t>
  </si>
  <si>
    <t>short ton (st)</t>
  </si>
  <si>
    <t>pound (lb)</t>
  </si>
  <si>
    <t>ounce (oz)</t>
  </si>
  <si>
    <t>Volume conversion factors</t>
  </si>
  <si>
    <t>gal US</t>
  </si>
  <si>
    <t>gal UK</t>
  </si>
  <si>
    <t>bbl</t>
  </si>
  <si>
    <t>ft3</t>
  </si>
  <si>
    <t>l</t>
  </si>
  <si>
    <t>m3</t>
  </si>
  <si>
    <t>US gallon (gal)</t>
  </si>
  <si>
    <t>UK gallon (gal)</t>
  </si>
  <si>
    <t>barrel (bbl)</t>
  </si>
  <si>
    <t>litre (l)</t>
  </si>
  <si>
    <t>cubic metre (m3)</t>
  </si>
  <si>
    <t>Length conversion factors</t>
  </si>
  <si>
    <t>in</t>
  </si>
  <si>
    <t>ft</t>
  </si>
  <si>
    <t>yd</t>
  </si>
  <si>
    <t>mi</t>
  </si>
  <si>
    <t>nmi</t>
  </si>
  <si>
    <t>m</t>
  </si>
  <si>
    <t>km</t>
  </si>
  <si>
    <t>inch (in)</t>
  </si>
  <si>
    <t>foot (ft)</t>
  </si>
  <si>
    <t>yard (yd)</t>
  </si>
  <si>
    <t>mile (mi)</t>
  </si>
  <si>
    <t>nautical mile (nmi)</t>
  </si>
  <si>
    <t>metre (m)</t>
  </si>
  <si>
    <t>kilometre (km)</t>
  </si>
  <si>
    <t>Power conversion factors</t>
  </si>
  <si>
    <t>HP</t>
  </si>
  <si>
    <t>kW</t>
  </si>
  <si>
    <t>horsepower (HP) - mechanic</t>
  </si>
  <si>
    <t>kilowatts (kW)</t>
  </si>
  <si>
    <t>Metric Prefixes</t>
  </si>
  <si>
    <t>10^x</t>
  </si>
  <si>
    <t>Prefix</t>
  </si>
  <si>
    <t>Symbol</t>
  </si>
  <si>
    <t>10^24</t>
  </si>
  <si>
    <t>yotta</t>
  </si>
  <si>
    <t>Y</t>
  </si>
  <si>
    <t>10^21</t>
  </si>
  <si>
    <t>zetta</t>
  </si>
  <si>
    <t>Z</t>
  </si>
  <si>
    <t>10^18</t>
  </si>
  <si>
    <t>exa</t>
  </si>
  <si>
    <t>E</t>
  </si>
  <si>
    <t>10^15</t>
  </si>
  <si>
    <t>peta</t>
  </si>
  <si>
    <t>P</t>
  </si>
  <si>
    <t>10^12</t>
  </si>
  <si>
    <t>tera</t>
  </si>
  <si>
    <t>T</t>
  </si>
  <si>
    <t>10^9</t>
  </si>
  <si>
    <t>giga</t>
  </si>
  <si>
    <t>G</t>
  </si>
  <si>
    <t>10^6</t>
  </si>
  <si>
    <t>mega</t>
  </si>
  <si>
    <t>M</t>
  </si>
  <si>
    <t>10^3</t>
  </si>
  <si>
    <t>kilo</t>
  </si>
  <si>
    <t>k</t>
  </si>
  <si>
    <t>10^2</t>
  </si>
  <si>
    <t>hecto</t>
  </si>
  <si>
    <t>h</t>
  </si>
  <si>
    <t>10^1</t>
  </si>
  <si>
    <t>deka</t>
  </si>
  <si>
    <t>da</t>
  </si>
  <si>
    <t>10^-1</t>
  </si>
  <si>
    <t>deci</t>
  </si>
  <si>
    <t>d</t>
  </si>
  <si>
    <t>10^-2</t>
  </si>
  <si>
    <t>centi</t>
  </si>
  <si>
    <t>c</t>
  </si>
  <si>
    <t>10^-3</t>
  </si>
  <si>
    <t>milli</t>
  </si>
  <si>
    <t>10^-6</t>
  </si>
  <si>
    <t>micro</t>
  </si>
  <si>
    <t>10^-9</t>
  </si>
  <si>
    <t>nano</t>
  </si>
  <si>
    <t>n</t>
  </si>
  <si>
    <t>10^-12</t>
  </si>
  <si>
    <t>pico</t>
  </si>
  <si>
    <t>p</t>
  </si>
  <si>
    <t>10^-15</t>
  </si>
  <si>
    <t>femto</t>
  </si>
  <si>
    <t>f</t>
  </si>
  <si>
    <t>10^-18</t>
  </si>
  <si>
    <t>atto</t>
  </si>
  <si>
    <t>a</t>
  </si>
  <si>
    <t>10^-21</t>
  </si>
  <si>
    <t>zepto</t>
  </si>
  <si>
    <t>z</t>
  </si>
  <si>
    <t>10^-24</t>
  </si>
  <si>
    <t>yocto</t>
  </si>
  <si>
    <t>y</t>
  </si>
  <si>
    <t xml:space="preserve">Sources: </t>
  </si>
  <si>
    <t>http://wds.iea.org/wds/pdf/documentation_co2_2012.pdf</t>
  </si>
  <si>
    <t>http://www.exo.net/~pauld/physics/Metric_prefixes.html</t>
  </si>
  <si>
    <t>Global warming potentials</t>
  </si>
  <si>
    <t>Greenhouse gas</t>
  </si>
  <si>
    <t>tCO2e/t of gas</t>
  </si>
  <si>
    <t>CO</t>
  </si>
  <si>
    <t>CH4</t>
  </si>
  <si>
    <t>N2O</t>
  </si>
  <si>
    <t>Useful links, references</t>
  </si>
  <si>
    <t>RTFO guidance</t>
  </si>
  <si>
    <t>RTFO Carbon Calculator</t>
  </si>
  <si>
    <t>https://www.gov.uk/government/publications/biofuels-carbon-calculator-rtfo</t>
  </si>
  <si>
    <t>RTFO carbon intensity templates</t>
  </si>
  <si>
    <t>https://assets.publishing.service.gov.uk/government/uploads/system/uploads/attachment_data/file/947712/carbon-intensity-data-templates-2021.ods</t>
  </si>
  <si>
    <t>RED II text</t>
  </si>
  <si>
    <t>RED II summary</t>
  </si>
  <si>
    <t>https://ec.europa.eu/jrc/en/jec/renewable-energy-recast-2030-red-ii</t>
  </si>
  <si>
    <t>JEC WTT v5</t>
  </si>
  <si>
    <t>https://ec.europa.eu/jrc/en/publication/eur-scientific-and-technical-research-reports/jec-well-tank-report-v5</t>
  </si>
  <si>
    <t>JRC updated input data for biofuel GHG default values</t>
  </si>
  <si>
    <t>https://ec.europa.eu/energy/sites/ener/files/documents/default_values_biofuels_main_reportl_online.pdf</t>
  </si>
  <si>
    <t>http://www.biograce.net/home</t>
  </si>
  <si>
    <t>EcoInvent/ISCC database of GHG emissions</t>
  </si>
  <si>
    <t>Allocation of GHG emissions to main output of each module</t>
  </si>
  <si>
    <t>Cumulative backward chain allocation of GHG emissions</t>
  </si>
  <si>
    <t>Total chain</t>
  </si>
  <si>
    <t>Module total</t>
  </si>
  <si>
    <t>hr/yr</t>
  </si>
  <si>
    <t>Type of input/output</t>
  </si>
  <si>
    <t>Description of input/output</t>
  </si>
  <si>
    <t>Value</t>
  </si>
  <si>
    <t>Flow in from/out to:</t>
  </si>
  <si>
    <t>Reference for GHG intensity</t>
  </si>
  <si>
    <t>Comments &amp; questions</t>
  </si>
  <si>
    <t>Inputs</t>
  </si>
  <si>
    <t>Module main feedstock</t>
  </si>
  <si>
    <t>Yes</t>
  </si>
  <si>
    <t>Energy</t>
  </si>
  <si>
    <t>e.g. Electricity</t>
  </si>
  <si>
    <t>NA</t>
  </si>
  <si>
    <t>e.g. Diesel</t>
  </si>
  <si>
    <t>Outputs</t>
  </si>
  <si>
    <t>Module main output</t>
  </si>
  <si>
    <t>No</t>
  </si>
  <si>
    <t>Wastes</t>
  </si>
  <si>
    <t>e.g. Natural gas</t>
  </si>
  <si>
    <t>Co-products</t>
  </si>
  <si>
    <t>Residues</t>
  </si>
  <si>
    <t>e.g. Ash</t>
  </si>
  <si>
    <t>Chemicals</t>
  </si>
  <si>
    <t>e.g. Oxygen</t>
  </si>
  <si>
    <t>e.g. FT waxes</t>
  </si>
  <si>
    <t>Version control</t>
  </si>
  <si>
    <t>https://www.ipcc.ch/site/assets/uploads/2018/02/ar4-wg1-chapter2-1.pdf</t>
  </si>
  <si>
    <t>H2</t>
  </si>
  <si>
    <t>https://ec.europa.eu/jrc/en/publication/eur-scientific-and-technical-research-reports/solid-and-gaseous-bioenergy-pathways-input-values-and-ghg-emissions-calculated-according-0</t>
  </si>
  <si>
    <t>JRC updated data for solid/gaseous biogenic GHG default values</t>
  </si>
  <si>
    <t>https://web.archive.org/web/20190605065129/http://www.arb.ca.gov/fuels/lcfs/workgroups/lcfssustain/ISCC_EU_205_GHG_Calculation_and_GHG_Audit_2.3_eng.pdf</t>
  </si>
  <si>
    <t>https://www.gov.uk/government/publications/renewable-transport-fuel-obligation-rtfo-compliance-reporting-and-verification</t>
  </si>
  <si>
    <t>https://ec.europa.eu/info/sites/default/files/amendment-renewable-energy-directive-2030-climate-target-with-annexes_en.pdf</t>
  </si>
  <si>
    <t>https://ec.europa.eu/info/sites/default/files/refueleu_aviation_-_sustainable_aviation_fuels.pdf</t>
  </si>
  <si>
    <t xml:space="preserve">SAF mandate consultation </t>
  </si>
  <si>
    <t>https://www.gov.uk/government/consultations/mandating-the-use-of-sustainable-aviation-fuels-in-the-uk</t>
  </si>
  <si>
    <t>https://iea.blob.core.windows.net/assets/deebef5d-0c34-4539-9d0c-10b13d840027/NetZeroby2050-ARoadmapfortheGlobalEnergySector_CORR.pdf</t>
  </si>
  <si>
    <t>https://www.gov.uk/government/publications/greenhouse-gas-reporting-conversion-factors-2021</t>
  </si>
  <si>
    <t>UK Government conversion factors for Company Reporting. Year 2021</t>
  </si>
  <si>
    <t>Biofuel, RFNBO, nuclear or RCF consignment?</t>
  </si>
  <si>
    <t>https://www.gov.uk/government/publications/atmospheric-implications-of-increased-hydrogen-use</t>
  </si>
  <si>
    <t>https://assets.publishing.service.gov.uk/government/uploads/system/uploads/attachment_data/file/1042787/renewable-transport-fuel-obligation-compliance-guidance.pdf</t>
  </si>
  <si>
    <t>GHG intensity of electricity consumed by UK industrial users</t>
  </si>
  <si>
    <t>Data Tables 1-19, Table 1, column I, https://www.gov.uk/government/publications/valuation-of-energy-use-and-greenhouse-gas-emissions-for-appraisal</t>
  </si>
  <si>
    <t>UK Low Carbon Hydrogen Standard - GHG and sustainability guidance</t>
  </si>
  <si>
    <t>https://assets.publishing.service.gov.uk/government/uploads/system/uploads/attachment_data/file/1067392/low-carbon-hydrogen-standard-guidance.pdf</t>
  </si>
  <si>
    <t>UK Low Carbon Hydrogen Standard - annexes to guidance</t>
  </si>
  <si>
    <t>https://assets.publishing.service.gov.uk/government/uploads/system/uploads/attachment_data/file/1067393/low-carbon-hydrogen-standard-guidance-annexes.pdf</t>
  </si>
  <si>
    <t>UK Low Carbon Hydrogen Standard - data table annex</t>
  </si>
  <si>
    <t>https://assets.publishing.service.gov.uk/government/uploads/system/uploads/attachment_data/file/1067394/low-carbon-hydrogen-standard-guidance-data-tables.pdf</t>
  </si>
  <si>
    <t>UK Low Carbon Hydrogen Standard consultation - Government response</t>
  </si>
  <si>
    <t>https://www.gov.uk/government/consultations/designing-a-uk-low-carbon-hydrogen-standard</t>
  </si>
  <si>
    <t>0.45% methane loss suggested for gas distribution grid transport</t>
  </si>
  <si>
    <t>http://www.element-energy.co.uk/wordpress/wp-content/uploads/2021/08/Zemo-Low-Carbon-Hydrogen-WTT-Pathways-full-report.pdf</t>
  </si>
  <si>
    <t>https://eur-lex.europa.eu/legal-content/EN/TXT/PDF/?uri=CELEX:32018L2001&amp;from=EN</t>
  </si>
  <si>
    <t>Biograce II biomass electricity, heating, cooling calculator (RED II compliant)</t>
  </si>
  <si>
    <t>https://www.biograce.net/biograce2/</t>
  </si>
  <si>
    <t>Biograce I biofuels calculator (RED I compliant)</t>
  </si>
  <si>
    <t>The following links can provide useful data sources that may be relevant</t>
  </si>
  <si>
    <t>IEA Net Zero Emissions by 2050 scenario</t>
  </si>
  <si>
    <t>RED III proposal</t>
  </si>
  <si>
    <t>ReFuelEUAviation proposal</t>
  </si>
  <si>
    <t>Please provide a schematic representation of your system boundary and supply chain for the fuel consignment(s) analysed in this Workbook</t>
  </si>
  <si>
    <t>Refuelling</t>
  </si>
  <si>
    <t xml:space="preserve">RTFO Targeting Net Zero Consultation (March 2021) </t>
  </si>
  <si>
    <t>https://www.gov.uk/government/consultations/amending-the-renewable-transport-fuels-obligation-rtfo-to-increase-carbon-savings-on-land-air-and-at-sea</t>
  </si>
  <si>
    <t>Edisp</t>
  </si>
  <si>
    <t>Efe</t>
  </si>
  <si>
    <t>Ee</t>
  </si>
  <si>
    <t>EfRCF</t>
  </si>
  <si>
    <t>Suppliers of RCFs from industrial waste gases must demonstrate that the avoided GHG emissions from the industrial gases are not already counted elsewhere (e.g. under the UK Emissions Trading Scheme), and that they have not been attributed to the final fuel.</t>
  </si>
  <si>
    <t>First year of full operations</t>
  </si>
  <si>
    <t>AFF@ricardo.com</t>
  </si>
  <si>
    <t>Advanced Fuels Fund threshold</t>
  </si>
  <si>
    <t>Please note that this trajectory is based on the Treasury's Green Book forecast values, and actual real-world grid factors may be different to these projections.</t>
  </si>
  <si>
    <t>First full year of operations for your proposed plant</t>
  </si>
  <si>
    <t>This means if your plant is proposing to start full operations in 2027, you should use the 2027 grid factor from row 6 above for any consumption of grid electricity. We have highlighted the value to use based on your input year in the Guidance worksheet.</t>
  </si>
  <si>
    <t>Demonstration or FOAK commercial project?</t>
  </si>
  <si>
    <t>Other relevant evidence</t>
  </si>
  <si>
    <t>Unit conversions that can be used throughout the workbook (additional conversions can be added if required)</t>
  </si>
  <si>
    <t>Please provide a schematic representation of your system boundary, for the chosen consignment</t>
  </si>
  <si>
    <t>Results tab showing module efficiencies, emissions, allocation between products and chain total GHG emissions (inc. fossil feedstock counterfactual emissions). Include with your application form</t>
  </si>
  <si>
    <t>Additional evidence</t>
  </si>
  <si>
    <t>RCF counterfactual</t>
  </si>
  <si>
    <t>Calculation of the counterfactual GHG emissions of diverting waste fossil feedstock away from its current use</t>
  </si>
  <si>
    <t>Workbook structure</t>
  </si>
  <si>
    <t>Compliance with the RTFO or SAF mandate at the time of first plant operations will rely on using actual UK grid factors from 3 years prior to that date (e.g. 2018 grid factors were published by BEIS in June 2020).</t>
  </si>
  <si>
    <t>The gCO2e/MJe grid factors have therefore been delayed by 3 years for your use in the Advanced Fuels Fund.</t>
  </si>
  <si>
    <t>cubic feet (ft3)</t>
  </si>
  <si>
    <t>Maximum permitted GHG emissions for each fuel consignment under the Advanced Fuels Fund, UK grid electricity GHG emissions factor to be used, other useful reference sources</t>
  </si>
  <si>
    <t>Highlighted cell to match chosen year (cell input not required)</t>
  </si>
  <si>
    <r>
      <t>Grid electricity GHG intensity (kgCO</t>
    </r>
    <r>
      <rPr>
        <vertAlign val="subscript"/>
        <sz val="11"/>
        <color theme="0" tint="-0.34998626667073579"/>
        <rFont val="Calibri"/>
        <family val="2"/>
      </rPr>
      <t>2e</t>
    </r>
    <r>
      <rPr>
        <sz val="11"/>
        <color theme="0" tint="-0.34998626667073579"/>
        <rFont val="Calibri"/>
        <family val="2"/>
      </rPr>
      <t>/kWh</t>
    </r>
    <r>
      <rPr>
        <vertAlign val="subscript"/>
        <sz val="11"/>
        <color theme="0" tint="-0.34998626667073579"/>
        <rFont val="Calibri"/>
        <family val="2"/>
      </rPr>
      <t>e</t>
    </r>
    <r>
      <rPr>
        <sz val="11"/>
        <color theme="0" tint="-0.34998626667073579"/>
        <rFont val="Calibri"/>
        <family val="2"/>
      </rPr>
      <t>) - as forecast</t>
    </r>
  </si>
  <si>
    <r>
      <t>Grid electricity GHG intensity (gCO</t>
    </r>
    <r>
      <rPr>
        <vertAlign val="subscript"/>
        <sz val="11"/>
        <color rgb="FF000000"/>
        <rFont val="Calibri"/>
        <family val="2"/>
      </rPr>
      <t>2e</t>
    </r>
    <r>
      <rPr>
        <sz val="11"/>
        <color rgb="FF000000"/>
        <rFont val="Calibri"/>
        <family val="2"/>
      </rPr>
      <t>/MJ</t>
    </r>
    <r>
      <rPr>
        <vertAlign val="subscript"/>
        <sz val="11"/>
        <color rgb="FF000000"/>
        <rFont val="Calibri"/>
        <family val="2"/>
      </rPr>
      <t>e</t>
    </r>
    <r>
      <rPr>
        <sz val="11"/>
        <color rgb="FF000000"/>
        <rFont val="Calibri"/>
        <family val="2"/>
      </rPr>
      <t>) - delayed 3 years for AFF use</t>
    </r>
  </si>
  <si>
    <t>If applicable, evidence of compliance with waste hierarchy</t>
  </si>
  <si>
    <t>If applicable, evidence for CCS use</t>
  </si>
  <si>
    <t>If applicable, evidence for CCU use and the permanence of the CO2 utilisation</t>
  </si>
  <si>
    <t>If applicable, evidence that hydrogen is likely to meet UK Low Carbon Hydrogen Standard</t>
  </si>
  <si>
    <t>If applicable, evidence that biomass feedstock likely to qualify as double-counting, sustainable residue or waste (and is not a segregated fat/oil)</t>
  </si>
  <si>
    <t>If applicable, evidence that biomass or RCF feedstock meets definition of a "waste"</t>
  </si>
  <si>
    <t>If applicable, evidence on compatibility of CO2 sourcing (for RNFBO and nuclear e-fuels)</t>
  </si>
  <si>
    <t>If applicable, calculation of the amount of fossil-fuel derived hydrogen used compared to total fuels output (and compliance with 5% threshold)</t>
  </si>
  <si>
    <t>Disclaimer</t>
  </si>
  <si>
    <t>E4tech, Ricardo and DfT take no responsibility for any user errors or inconsistent datasets being used.</t>
  </si>
  <si>
    <t>The onus is on the applicant to carefully check all the data they input and any suggested datasets referenced within the tool that they rely on within their calculations.</t>
  </si>
  <si>
    <t>Guidance</t>
  </si>
  <si>
    <t>Evidence for biomass feedstocks, wastes, CO2 sourcing, Low Carbon Hydrogen Standard, fossil hydrogen limit, CCU and CCS</t>
  </si>
  <si>
    <t>The emission factor of displaced energy in the counterfactual should be the latest published figures for a full reporting year for the average generation of that energy in the country where the feedstock and fuel is produced.</t>
  </si>
  <si>
    <t>For RDF and all other solid RCF feedstocks, this counterfactual is set as Energy-from-Waste combustion with electricity generation (no heat sales, and no CCS), at 22% electrical efficiency.</t>
  </si>
  <si>
    <t>Evidence that avoided GHG emissions from industrial gases are not already counted elsewhere (e.g. in an Emissions Trading Scheme), and that they have not been attributed to the final fuel</t>
  </si>
  <si>
    <t>Suppliers of RCFs produced from industrial gases should demonstrate that heat generation is not displaced by the production of RCFs. If heat is displaced, the calculations below need to be adjusted.</t>
  </si>
  <si>
    <r>
      <t>Emissions from displaced energy use (gCO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 prior to allocation</t>
    </r>
  </si>
  <si>
    <t>Efficiency of feedstock conversion to RCF (%), calculated from the total chain efficiency</t>
  </si>
  <si>
    <r>
      <t>Emission factor of the displaced energy in counterfactual (gCO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If grid power, use the UK grid factor in the Assumptions tab for the first full year of operations. If another counterfactual applies, e.g. heat, input the emissions factor</t>
    </r>
  </si>
  <si>
    <r>
      <t>This worksheet calculates the fossil feedstock counterfactual emissions in 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xml:space="preserve"> of final fuel (prior to allocation), which will feed into the "Summary" tab (cell F3)</t>
    </r>
  </si>
  <si>
    <t>For UK grid electricity, this means 3 years before the analysis year, given e.g. Government conversion factors for grid electricity intensity in 2018 were published in June 2020.</t>
  </si>
  <si>
    <t>For industrial waste gases, alternative counterfactuals could be considered if sufficient evidence is provided below (or EfW power only may still be the appropriate counterfactual if grid electricity generation is displaced).</t>
  </si>
  <si>
    <t>Evidence for any alternative counterfactual for industrial gases - state clearly how the gas is used, what output product is being displaced, the efficiency and how much product is displaced, and its emissions factor (in what year), and feed this into the above calculations</t>
  </si>
  <si>
    <t>Evidence that industrial gases used in RCFs are not displacing heat generation. Or if heat is being displaced, state its efficiency and how much heat is being displaced, and its emissions factor (in what year), and feed this into the above calculations</t>
  </si>
  <si>
    <t>Recycled Carbon Fuels counterfactual emissions</t>
  </si>
  <si>
    <t>This worksheet should only be filled in if considering a recycled carbon fuel (RCF) consignment within this Excel workbook (as selected in the Guidance worksheet).</t>
  </si>
  <si>
    <r>
      <t>GHG emissions threshold is 31 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xml:space="preserve"> for biofuels, RFNBO and nuclear energy derived fuels. See the "Assumptions" worksheet for the RCF threshold trajectory over time</t>
    </r>
  </si>
  <si>
    <r>
      <t>First Full Year of Operations for FOAK Commercial Plant (gCO</t>
    </r>
    <r>
      <rPr>
        <b/>
        <vertAlign val="subscript"/>
        <sz val="11"/>
        <color rgb="FF000000"/>
        <rFont val="Calibri"/>
        <family val="2"/>
      </rPr>
      <t>2</t>
    </r>
    <r>
      <rPr>
        <b/>
        <sz val="11"/>
        <color rgb="FF000000"/>
        <rFont val="Calibri"/>
        <family val="2"/>
      </rPr>
      <t>e/MJ</t>
    </r>
    <r>
      <rPr>
        <b/>
        <vertAlign val="subscript"/>
        <sz val="11"/>
        <color rgb="FF000000"/>
        <rFont val="Calibri"/>
        <family val="2"/>
      </rPr>
      <t>LHV</t>
    </r>
    <r>
      <rPr>
        <b/>
        <sz val="11"/>
        <color rgb="FF000000"/>
        <rFont val="Calibri"/>
        <family val="2"/>
      </rPr>
      <t>)</t>
    </r>
  </si>
  <si>
    <t>Maximum permissible GHG emissions intensity of a fuel consignment</t>
  </si>
  <si>
    <t>Biofuel</t>
  </si>
  <si>
    <t>Renewable fuel of non-biological origin (RFNBO)</t>
  </si>
  <si>
    <t>Nuclear energy derived fuel</t>
  </si>
  <si>
    <t>Recycled carbon fuel (RCF)</t>
  </si>
  <si>
    <t>Efficiency of conversion in counterfactual use (%). 22% is assuming EfW power generation is the appropriate counterfactual for your feedstock. Change this value if using a different counterfactual</t>
  </si>
  <si>
    <t>Further flow details (e.g. energy source, type, distance, temperature, pressure, purity, moisture content)</t>
  </si>
  <si>
    <t>Source / evidence (e.g. production reports, contracts, delivery notes, lab testing, model)</t>
  </si>
  <si>
    <t>Does flow cross the GHG assessment boundary?</t>
  </si>
  <si>
    <t>Lower heating value [LHV] (MJ/kg)</t>
  </si>
  <si>
    <t>Reference for LHV</t>
  </si>
  <si>
    <t>Equivalent energy flow (MWh/yr LHV)</t>
  </si>
  <si>
    <t>e.g. Forestry residues</t>
  </si>
  <si>
    <t>e.g. Heating oil</t>
  </si>
  <si>
    <t>e.g. Chemicals</t>
  </si>
  <si>
    <t>e.g. Catalyst</t>
  </si>
  <si>
    <t xml:space="preserve">e.g. Water </t>
  </si>
  <si>
    <t>Materials</t>
  </si>
  <si>
    <t>tonnes/yr</t>
  </si>
  <si>
    <t>MWh/yr (LHV)</t>
  </si>
  <si>
    <r>
      <t>Module efficiency (MJ</t>
    </r>
    <r>
      <rPr>
        <b/>
        <vertAlign val="subscript"/>
        <sz val="11"/>
        <color rgb="FF000098"/>
        <rFont val="Calibri"/>
        <family val="2"/>
      </rPr>
      <t>LHV</t>
    </r>
    <r>
      <rPr>
        <b/>
        <sz val="11"/>
        <color rgb="FF000098"/>
        <rFont val="Calibri"/>
        <family val="2"/>
      </rPr>
      <t xml:space="preserve"> module main output/MJ</t>
    </r>
    <r>
      <rPr>
        <b/>
        <vertAlign val="subscript"/>
        <sz val="11"/>
        <color rgb="FF000098"/>
        <rFont val="Calibri"/>
        <family val="2"/>
      </rPr>
      <t>LHV</t>
    </r>
    <r>
      <rPr>
        <b/>
        <sz val="11"/>
        <color rgb="FF000098"/>
        <rFont val="Calibri"/>
        <family val="2"/>
      </rPr>
      <t xml:space="preserve"> module main input)</t>
    </r>
  </si>
  <si>
    <r>
      <t>Energy allocation (MJ</t>
    </r>
    <r>
      <rPr>
        <b/>
        <vertAlign val="subscript"/>
        <sz val="11"/>
        <color rgb="FF000098"/>
        <rFont val="Calibri"/>
        <family val="2"/>
      </rPr>
      <t>LHV</t>
    </r>
    <r>
      <rPr>
        <b/>
        <sz val="11"/>
        <color rgb="FF000098"/>
        <rFont val="Calibri"/>
        <family val="2"/>
      </rPr>
      <t xml:space="preserve"> main product/MJ</t>
    </r>
    <r>
      <rPr>
        <b/>
        <vertAlign val="subscript"/>
        <sz val="11"/>
        <color rgb="FF000098"/>
        <rFont val="Calibri"/>
        <family val="2"/>
      </rPr>
      <t>LHV</t>
    </r>
    <r>
      <rPr>
        <b/>
        <sz val="11"/>
        <color rgb="FF000098"/>
        <rFont val="Calibri"/>
        <family val="2"/>
      </rPr>
      <t xml:space="preserve"> all module products)</t>
    </r>
  </si>
  <si>
    <r>
      <t>GHG intensity 
(gCO</t>
    </r>
    <r>
      <rPr>
        <b/>
        <vertAlign val="subscript"/>
        <sz val="11"/>
        <color rgb="FF000098"/>
        <rFont val="Calibri"/>
        <family val="2"/>
      </rPr>
      <t>2</t>
    </r>
    <r>
      <rPr>
        <b/>
        <sz val="11"/>
        <color rgb="FF000098"/>
        <rFont val="Calibri"/>
        <family val="2"/>
      </rPr>
      <t>e/kg of material) - for materials with kg/hr units</t>
    </r>
  </si>
  <si>
    <r>
      <t>GHG intensity 
(gCO</t>
    </r>
    <r>
      <rPr>
        <b/>
        <vertAlign val="subscript"/>
        <sz val="11"/>
        <color rgb="FF000098"/>
        <rFont val="Calibri"/>
        <family val="2"/>
      </rPr>
      <t>2</t>
    </r>
    <r>
      <rPr>
        <b/>
        <sz val="11"/>
        <color rgb="FF000098"/>
        <rFont val="Calibri"/>
        <family val="2"/>
      </rPr>
      <t>e/MJ</t>
    </r>
    <r>
      <rPr>
        <b/>
        <vertAlign val="subscript"/>
        <sz val="11"/>
        <color rgb="FF000098"/>
        <rFont val="Calibri"/>
        <family val="2"/>
      </rPr>
      <t>LHV</t>
    </r>
    <r>
      <rPr>
        <b/>
        <sz val="11"/>
        <color rgb="FF000098"/>
        <rFont val="Calibri"/>
        <family val="2"/>
      </rPr>
      <t xml:space="preserve"> of energy) - for materials with MWh/yr (LHV) units</t>
    </r>
  </si>
  <si>
    <r>
      <t>GHG emissions (gCO</t>
    </r>
    <r>
      <rPr>
        <b/>
        <vertAlign val="subscript"/>
        <sz val="11"/>
        <color rgb="FF000098"/>
        <rFont val="Calibri"/>
        <family val="2"/>
      </rPr>
      <t>2</t>
    </r>
    <r>
      <rPr>
        <b/>
        <sz val="11"/>
        <color rgb="FF000098"/>
        <rFont val="Calibri"/>
        <family val="2"/>
      </rPr>
      <t>e/MJ</t>
    </r>
    <r>
      <rPr>
        <b/>
        <vertAlign val="subscript"/>
        <sz val="11"/>
        <color rgb="FF000098"/>
        <rFont val="Calibri"/>
        <family val="2"/>
      </rPr>
      <t>LHV</t>
    </r>
    <r>
      <rPr>
        <b/>
        <sz val="11"/>
        <color rgb="FF000098"/>
        <rFont val="Calibri"/>
        <family val="2"/>
      </rPr>
      <t xml:space="preserve"> module main output), WITHOUT allocation</t>
    </r>
  </si>
  <si>
    <t>e.g. Forestry residue chips</t>
  </si>
  <si>
    <t>e.g. Co-product 1</t>
  </si>
  <si>
    <t>e.g. Co-product 2</t>
  </si>
  <si>
    <t>e.g. Wastewater</t>
  </si>
  <si>
    <t>e.g. Sulphur</t>
  </si>
  <si>
    <t>CO2 generated</t>
  </si>
  <si>
    <t>e.g. Fossil CO2 generated from use of inputs</t>
  </si>
  <si>
    <t>Fugitive non-CO2 emissions</t>
  </si>
  <si>
    <t>e.g. Methane emitted, net of any mitigation</t>
  </si>
  <si>
    <t>e.g. N2O emitted, net of any mitigation</t>
  </si>
  <si>
    <t>Zero up to point of collection for wastes/residues</t>
  </si>
  <si>
    <t>Fossil CO2 generated and emitted (no CO2 capture) is given a penalty of 1 tonne CO2e/tonne CO2 under LCHS</t>
  </si>
  <si>
    <t>IPCC Fifth Assessment Report (AR5), GWP100 without carbon feedbacks</t>
  </si>
  <si>
    <t>Other characteristics</t>
  </si>
  <si>
    <t>Operating hours</t>
  </si>
  <si>
    <t>Full-load equivalents</t>
  </si>
  <si>
    <t>e.g. Spent catalysts</t>
  </si>
  <si>
    <t>CO2 sequestered</t>
  </si>
  <si>
    <t>e.g. Excess electricity generation</t>
  </si>
  <si>
    <t>Capture rate</t>
  </si>
  <si>
    <t>CCS capture rate</t>
  </si>
  <si>
    <t>%</t>
  </si>
  <si>
    <t>CO2 losses in T&amp;S</t>
  </si>
  <si>
    <t>CO2 lost during transmission and storage</t>
  </si>
  <si>
    <t>e.g. Jet fuel</t>
  </si>
  <si>
    <t>e.g. Forestry residue pellets</t>
  </si>
  <si>
    <t>e.g. Biogenic CO2 captured and sequestered</t>
  </si>
  <si>
    <t>e.g. Fossil CO2 captured and sequestered</t>
  </si>
  <si>
    <t>Biogenic CO2 sequestered is given a credit of 1 tonne CO2e/tonne CO2</t>
  </si>
  <si>
    <t>Fossil CO2 generated and emitted (no CO2 capture) is given a penalty of 1 tonne CO2e/tonne CO2</t>
  </si>
  <si>
    <t>Biogenic CO2 has nil GWP</t>
  </si>
  <si>
    <t>Fossil CO2 sequestered is given a credit of 1 tonne CO2e/tonne CO2, provided that the CO2 generated before capture is counted as an emission</t>
  </si>
  <si>
    <t>e.g. Useful heat to district heating network, factoring in Carnot efficiency</t>
  </si>
  <si>
    <t>CO2 utilised</t>
  </si>
  <si>
    <t>e.g. Biogenic CO2 captured and utilised (long-term use)</t>
  </si>
  <si>
    <t>e.g. Fossil CO2 captured and utilised (long-term use)</t>
  </si>
  <si>
    <t>Biogenic CO2 utilised (in long-term application, not released quickly back to atmosphere) is given a credit of 1 tonne CO2e/tonne CO2</t>
  </si>
  <si>
    <t>Fossil CO2  utilised (in long-term application, not released quickly back to atmosphere) is given a credit of 1 tonne CO2e/tonne CO2, provided that the CO2 generated before capture is counted as an emission</t>
  </si>
  <si>
    <t>e.g. Naphtha</t>
  </si>
  <si>
    <t>e.g. Reject materials, losses</t>
  </si>
  <si>
    <t>e.g. Biogenic CO2 generated onsite (e.g. some pellets or syngas burnt onsite for heating)</t>
  </si>
  <si>
    <t>e.g. Fossil CO2 generated onsite (e.g. combustion of diesel, nat gas)</t>
  </si>
  <si>
    <t>e.g. Biogenic CO2 generated onsite (e.g. some chip or pellets burnt onsite for heating)</t>
  </si>
  <si>
    <t>e.g. Biogenic CO2 generated onsite (e.g. some biogenic off-gases burnt onsite for heating)</t>
  </si>
  <si>
    <t xml:space="preserve">An applicant achieving a satisfactory GHG emissions result within the template is not necessarily proof of compliance with the Advanced Fuels Fund’s GHG emissions eligibility criteria, nor with the UK's RTFO or SAF mandate. </t>
  </si>
  <si>
    <t>Only once a completed version of this workbook, accompanying workbooks for any other fuel consignments (where relevant) and all accompanying evidence have been subject to detailed review for validity and consistency (which will happen throughout the funding allocation process) will DfT be able to state whether a project is compliant with the GHG eligibility requirements of the Advanced Fuels Fund.</t>
  </si>
  <si>
    <t>Accounting for only the emissions in supplying this input. Record any GHGs released on use in outputs table below</t>
  </si>
  <si>
    <t>GHG emissions calculation template for the DfT Advanced Fuels Fund (window 1)</t>
  </si>
  <si>
    <t>Project name</t>
  </si>
  <si>
    <t>Project location</t>
  </si>
  <si>
    <t>Conversion technology pathway</t>
  </si>
  <si>
    <t>Feedstock (in this workbook)</t>
  </si>
  <si>
    <t>Consignment, project, year and contact information, workbook legend, structure and disclaimer. Complete the initial questions at the top of this worksheet</t>
  </si>
  <si>
    <t>Include a copy of this table in your application form</t>
  </si>
  <si>
    <t>Following Appendix E of the Guidance document, for the purposes of the Advanced Fuels Fund, DfT are including emissions arising from the diversion of RCF feedstocks from their existing counterfactual use within the total RCF emissions calculation.</t>
  </si>
  <si>
    <t>Note that the RCF methodology set out below does not indicate a confirmed DfT policy position in relation to the RTFO or SAF mandate.</t>
  </si>
  <si>
    <t>Note that the RCF threshold set out below does not indicate a confirmed DfT policy position in relation to the RTFO or SAF mandate.</t>
  </si>
  <si>
    <t>https://assets.publishing.service.gov.uk/government/uploads/system/uploads/attachment_data/file/1042782/rtfo-guidance-for-biomethane-including-as-a-chemical-precursor.pdf</t>
  </si>
  <si>
    <t>0.13% methane loss per 1000km suggested for NTS gas grid transport</t>
  </si>
  <si>
    <t xml:space="preserve"> </t>
  </si>
  <si>
    <t>v1.1</t>
  </si>
  <si>
    <t>Revised publication version</t>
  </si>
  <si>
    <r>
      <t>Complete each of the applicable chain component worksheet, ensuring that all inputs and outputs for each process are captured. In each worksheet, a set of example inputs and outputs are provided. This should not be considered an exhaustive list, and some of the examples may not apply to your process, so red text should be deleted or adapted as appropriate.
The input and output values should be reported in tonnes/yr or MWh/yr. If you are converting from tonnes/hr or MW, please provide the assumed operating hours at the bottom of the worksheet. 
If a worksheet is not required, set the relevant row in column C in the Summary tab to "No", and this will keep the worksheet result as 100% efficiency, 100% allocation with no added GHG emissions (i.e. no impact).
The number of workbooks required will depend on (a) the technology readiness level of the plant and (b) whether multiple/mixed feedstocks are used: 
(a) For those applying for funding for a FOAK commercial plant, just complete 1 workbook for that plant. For those applying for funding for a demo plant, complete 2 separate Excel workbooks, one for the demo plant and one for a future commercial-sized plant (detailing and evidencing reasonable levels of process integration and optimisation, any changes in feedstock or major changes from the demo plant).
(b) If your fuel is not produced from a single homogenious feedstock,</t>
    </r>
    <r>
      <rPr>
        <sz val="11"/>
        <color rgb="FF00B0F0"/>
        <rFont val="Calibri"/>
        <family val="2"/>
      </rPr>
      <t xml:space="preserve"> </t>
    </r>
    <r>
      <rPr>
        <sz val="11"/>
        <color rgb="FF000000"/>
        <rFont val="Calibri"/>
        <family val="2"/>
      </rPr>
      <t>please complete separate Excel workbooks for each feedstock used. If your feedstock is a mix of biogenic and fossil fractions, then please complete separate Excel workbooks for the renewable part of your fuel and the non-renewable part of your fuel (using the different GHG methodologies for each consignment).</t>
    </r>
  </si>
  <si>
    <r>
      <t xml:space="preserve">Supply chain module 
</t>
    </r>
    <r>
      <rPr>
        <sz val="11"/>
        <color rgb="FF000000"/>
        <rFont val="Calibri"/>
        <family val="2"/>
      </rPr>
      <t>(module &amp; tab names can be altered)</t>
    </r>
  </si>
  <si>
    <r>
      <t xml:space="preserve">Is the module used? 
</t>
    </r>
    <r>
      <rPr>
        <sz val="11"/>
        <color rgb="FF000000"/>
        <rFont val="Calibri"/>
        <family val="2"/>
      </rPr>
      <t>(to complete)</t>
    </r>
  </si>
  <si>
    <r>
      <t xml:space="preserve">GHG emissions from module, WITH allocation </t>
    </r>
    <r>
      <rPr>
        <sz val="11"/>
        <color rgb="FF000000"/>
        <rFont val="Calibri"/>
        <family val="2"/>
      </rPr>
      <t>(gCO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xml:space="preserve"> final fuel)</t>
    </r>
  </si>
  <si>
    <r>
      <t xml:space="preserve">GHG emissions from module, WITHOUT allocation
</t>
    </r>
    <r>
      <rPr>
        <sz val="11"/>
        <color rgb="FF000000"/>
        <rFont val="Calibri"/>
        <family val="2"/>
      </rPr>
      <t>(gCO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xml:space="preserve"> final fuel)</t>
    </r>
  </si>
  <si>
    <r>
      <t xml:space="preserve">GHG emissions from module, WITHOUT allocation
</t>
    </r>
    <r>
      <rPr>
        <sz val="11"/>
        <color rgb="FF000000"/>
        <rFont val="Calibri"/>
        <family val="2"/>
      </rPr>
      <t>(gCO</t>
    </r>
    <r>
      <rPr>
        <vertAlign val="subscript"/>
        <sz val="11"/>
        <color rgb="FF000000"/>
        <rFont val="Calibri"/>
        <family val="2"/>
      </rPr>
      <t>2</t>
    </r>
    <r>
      <rPr>
        <sz val="11"/>
        <color rgb="FF000000"/>
        <rFont val="Calibri"/>
        <family val="2"/>
      </rPr>
      <t>e/MJ</t>
    </r>
    <r>
      <rPr>
        <vertAlign val="subscript"/>
        <sz val="11"/>
        <color rgb="FF000000"/>
        <rFont val="Calibri"/>
        <family val="2"/>
      </rPr>
      <t>LHV</t>
    </r>
    <r>
      <rPr>
        <sz val="11"/>
        <color rgb="FF000000"/>
        <rFont val="Calibri"/>
        <family val="2"/>
      </rPr>
      <t xml:space="preserve"> module main output)</t>
    </r>
  </si>
  <si>
    <r>
      <t xml:space="preserve">Cumulative backward chain efficiency 
</t>
    </r>
    <r>
      <rPr>
        <sz val="11"/>
        <color rgb="FF000000"/>
        <rFont val="Calibri"/>
        <family val="2"/>
      </rPr>
      <t>(MJ</t>
    </r>
    <r>
      <rPr>
        <vertAlign val="subscript"/>
        <sz val="11"/>
        <color rgb="FF000000"/>
        <rFont val="Calibri"/>
        <family val="2"/>
      </rPr>
      <t>LHV</t>
    </r>
    <r>
      <rPr>
        <sz val="11"/>
        <color rgb="FF000000"/>
        <rFont val="Calibri"/>
        <family val="2"/>
      </rPr>
      <t xml:space="preserve"> module main output/MJ</t>
    </r>
    <r>
      <rPr>
        <vertAlign val="subscript"/>
        <sz val="11"/>
        <color rgb="FF000000"/>
        <rFont val="Calibri"/>
        <family val="2"/>
      </rPr>
      <t>LHV</t>
    </r>
    <r>
      <rPr>
        <sz val="11"/>
        <color rgb="FF000000"/>
        <rFont val="Calibri"/>
        <family val="2"/>
      </rPr>
      <t xml:space="preserve"> final fuel)</t>
    </r>
  </si>
  <si>
    <r>
      <t xml:space="preserve">Module efficiency </t>
    </r>
    <r>
      <rPr>
        <sz val="11"/>
        <color rgb="FF000000"/>
        <rFont val="Calibri"/>
        <family val="2"/>
      </rPr>
      <t>(MJ</t>
    </r>
    <r>
      <rPr>
        <vertAlign val="subscript"/>
        <sz val="11"/>
        <color rgb="FF000000"/>
        <rFont val="Calibri"/>
        <family val="2"/>
      </rPr>
      <t>LHV</t>
    </r>
    <r>
      <rPr>
        <sz val="11"/>
        <color rgb="FF000000"/>
        <rFont val="Calibri"/>
        <family val="2"/>
      </rPr>
      <t xml:space="preserve"> main output/ MJ</t>
    </r>
    <r>
      <rPr>
        <vertAlign val="subscript"/>
        <sz val="11"/>
        <color rgb="FF000000"/>
        <rFont val="Calibri"/>
        <family val="2"/>
      </rPr>
      <t>LHV</t>
    </r>
    <r>
      <rPr>
        <sz val="11"/>
        <color rgb="FF000000"/>
        <rFont val="Calibri"/>
        <family val="2"/>
      </rPr>
      <t xml:space="preserve"> main input)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</si>
</sst>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3" formatCode="_-* #,##0.00_-;\-* #,##0.00_-;_-* &quot;-&quot;??_-;_-@_-"/>
    <numFmt numFmtId="164" formatCode="0.0000"/>
    <numFmt numFmtId="165" formatCode="dd\-mmm\-yyyy"/>
    <numFmt numFmtId="166" formatCode="0.000000"/>
    <numFmt numFmtId="167" formatCode="#,##0.0000"/>
    <numFmt numFmtId="168" formatCode="#,##0.0000000"/>
    <numFmt numFmtId="169" formatCode="0.00000"/>
    <numFmt numFmtId="170" formatCode="0.000"/>
    <numFmt numFmtId="171" formatCode="#,##0.000"/>
    <numFmt numFmtId="172" formatCode="0.0000000"/>
    <numFmt numFmtId="173" formatCode="#,##0.0"/>
    <numFmt numFmtId="174" formatCode="0.0"/>
    <numFmt numFmtId="175" formatCode="#,##0.00000"/>
    <numFmt numFmtId="176" formatCode="_-* #,##0_-;\-* #,##0_-;_-* &quot;-&quot;??_-;_-@_-"/>
    <numFmt numFmtId="177" formatCode="dd\ mmm\ yyyy"/>
    <numFmt numFmtId="178" formatCode="_-* #,##0.000_-;\-* #,##0.000_-;_-* &quot;-&quot;??_-;_-@_-"/>
  </numFmts>
  <fonts count="53">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theme="0" tint="-0.499984740745262"/>
      <name val="Calibri"/>
      <family val="2"/>
    </font>
    <font>
      <sz val="8"/>
      <color theme="0" tint="-0.499984740745262"/>
      <name val="Calibri"/>
      <family val="2"/>
    </font>
    <font>
      <b/>
      <sz val="11"/>
      <color theme="0"/>
      <name val="Calibri"/>
      <family val="2"/>
    </font>
    <font>
      <sz val="11"/>
      <color rgb="FF000098"/>
      <name val="Calibri"/>
      <family val="2"/>
    </font>
    <font>
      <b/>
      <sz val="11"/>
      <color rgb="FF000098"/>
      <name val="Calibri"/>
      <family val="2"/>
    </font>
    <font>
      <b/>
      <sz val="11"/>
      <color theme="7" tint="-0.499984740745262"/>
      <name val="Calibri"/>
      <family val="2"/>
    </font>
    <font>
      <sz val="11"/>
      <color theme="7" tint="-0.499984740745262"/>
      <name val="Calibri"/>
      <family val="2"/>
    </font>
    <font>
      <sz val="11"/>
      <color rgb="FF000000"/>
      <name val="Calibri"/>
      <family val="2"/>
    </font>
    <font>
      <sz val="10"/>
      <name val="Arial"/>
      <family val="2"/>
    </font>
    <font>
      <b/>
      <sz val="11"/>
      <color rgb="FF000000"/>
      <name val="Calibri"/>
      <family val="2"/>
    </font>
    <font>
      <sz val="11"/>
      <color indexed="8"/>
      <name val="Calibri"/>
      <family val="2"/>
    </font>
    <font>
      <sz val="10"/>
      <name val="Arial Cyr"/>
    </font>
    <font>
      <sz val="11"/>
      <color rgb="FF000000"/>
      <name val="Calibri"/>
      <family val="2"/>
      <scheme val="minor"/>
    </font>
    <font>
      <b/>
      <sz val="11"/>
      <color indexed="8"/>
      <name val="Calibri"/>
      <family val="2"/>
      <scheme val="minor"/>
    </font>
    <font>
      <sz val="11"/>
      <color indexed="8"/>
      <name val="Calibri"/>
      <family val="2"/>
      <scheme val="minor"/>
    </font>
    <font>
      <b/>
      <sz val="11"/>
      <name val="Calibri"/>
      <family val="2"/>
      <scheme val="minor"/>
    </font>
    <font>
      <sz val="11"/>
      <name val="Calibri"/>
      <family val="2"/>
      <scheme val="minor"/>
    </font>
    <font>
      <sz val="10"/>
      <name val="Calibri"/>
      <family val="2"/>
      <scheme val="minor"/>
    </font>
    <font>
      <b/>
      <sz val="9"/>
      <color indexed="81"/>
      <name val="Tahoma"/>
      <family val="2"/>
    </font>
    <font>
      <sz val="9"/>
      <color indexed="81"/>
      <name val="Tahoma"/>
      <family val="2"/>
    </font>
    <font>
      <b/>
      <sz val="11"/>
      <name val="Calibri"/>
      <family val="2"/>
    </font>
    <font>
      <sz val="11"/>
      <color rgb="FFFF0000"/>
      <name val="Calibri"/>
      <family val="2"/>
    </font>
    <font>
      <sz val="12"/>
      <color rgb="FF000000"/>
      <name val="Calibri"/>
      <family val="2"/>
    </font>
    <font>
      <u/>
      <sz val="11"/>
      <color rgb="FF000000"/>
      <name val="Calibri"/>
      <family val="2"/>
    </font>
    <font>
      <u/>
      <sz val="11"/>
      <color theme="10"/>
      <name val="Calibri"/>
      <family val="2"/>
    </font>
    <font>
      <b/>
      <sz val="11"/>
      <color indexed="8"/>
      <name val="Calibri"/>
      <family val="2"/>
    </font>
    <font>
      <sz val="11"/>
      <color theme="10"/>
      <name val="Calibri"/>
      <family val="2"/>
    </font>
    <font>
      <b/>
      <sz val="11"/>
      <color theme="10"/>
      <name val="Calibri"/>
      <family val="2"/>
    </font>
    <font>
      <b/>
      <sz val="18"/>
      <color theme="3"/>
      <name val="Calibri"/>
      <family val="2"/>
      <scheme val="major"/>
    </font>
    <font>
      <sz val="11"/>
      <color theme="1"/>
      <name val="Arial"/>
      <family val="2"/>
    </font>
    <font>
      <sz val="11"/>
      <color indexed="9"/>
      <name val="Calibri"/>
      <family val="2"/>
    </font>
    <font>
      <sz val="10"/>
      <color rgb="FF000000"/>
      <name val="Arial"/>
      <family val="2"/>
    </font>
    <font>
      <sz val="11"/>
      <color theme="1"/>
      <name val="Times New Roman"/>
      <family val="2"/>
    </font>
    <font>
      <b/>
      <sz val="11"/>
      <color theme="1"/>
      <name val="Calibri"/>
      <family val="2"/>
      <scheme val="minor"/>
    </font>
    <font>
      <sz val="11"/>
      <color rgb="FF00B0F0"/>
      <name val="Calibri"/>
      <family val="2"/>
    </font>
    <font>
      <i/>
      <sz val="11"/>
      <color rgb="FF000000"/>
      <name val="Calibri"/>
      <family val="2"/>
    </font>
    <font>
      <sz val="11"/>
      <color rgb="FF001D4F"/>
      <name val="Calibri"/>
      <family val="2"/>
    </font>
    <font>
      <i/>
      <sz val="10"/>
      <color rgb="FF000000"/>
      <name val="Calibri"/>
      <family val="2"/>
    </font>
    <font>
      <b/>
      <vertAlign val="subscript"/>
      <sz val="11"/>
      <color rgb="FF000000"/>
      <name val="Calibri"/>
      <family val="2"/>
    </font>
    <font>
      <vertAlign val="subscript"/>
      <sz val="11"/>
      <color rgb="FF000000"/>
      <name val="Calibri"/>
      <family val="2"/>
    </font>
    <font>
      <sz val="11"/>
      <color theme="0" tint="-0.34998626667073579"/>
      <name val="Calibri"/>
      <family val="2"/>
    </font>
    <font>
      <vertAlign val="subscript"/>
      <sz val="11"/>
      <color theme="0" tint="-0.34998626667073579"/>
      <name val="Calibri"/>
      <family val="2"/>
    </font>
    <font>
      <sz val="11"/>
      <color theme="0" tint="-0.34998626667073579"/>
      <name val="Calibri"/>
      <family val="2"/>
      <scheme val="minor"/>
    </font>
    <font>
      <b/>
      <sz val="11"/>
      <color theme="0" tint="-0.34998626667073579"/>
      <name val="Calibri"/>
      <family val="2"/>
      <scheme val="minor"/>
    </font>
    <font>
      <u/>
      <sz val="11"/>
      <name val="Calibri"/>
      <family val="2"/>
    </font>
    <font>
      <b/>
      <vertAlign val="subscript"/>
      <sz val="11"/>
      <color rgb="FF000098"/>
      <name val="Calibri"/>
      <family val="2"/>
    </font>
    <font>
      <b/>
      <sz val="11"/>
      <color rgb="FFFF0000"/>
      <name val="Calibri"/>
      <family val="2"/>
    </font>
    <font>
      <b/>
      <sz val="16"/>
      <color rgb="FF000000"/>
      <name val="Calibri"/>
      <family val="2"/>
    </font>
  </fonts>
  <fills count="17">
    <fill>
      <patternFill patternType="none"/>
    </fill>
    <fill>
      <patternFill patternType="gray125"/>
    </fill>
    <fill>
      <patternFill patternType="solid">
        <fgColor rgb="FF1B429A"/>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6" tint="0.39994506668294322"/>
        <bgColor indexed="64"/>
      </patternFill>
    </fill>
    <fill>
      <patternFill patternType="solid">
        <fgColor theme="9" tint="0.59996337778862885"/>
        <bgColor indexed="64"/>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indexed="30"/>
      </patternFill>
    </fill>
    <fill>
      <patternFill patternType="solid">
        <fgColor theme="8" tint="0.39994506668294322"/>
        <bgColor indexed="64"/>
      </patternFill>
    </fill>
    <fill>
      <patternFill patternType="solid">
        <fgColor theme="2" tint="-9.9948118533890809E-2"/>
        <bgColor indexed="64"/>
      </patternFill>
    </fill>
    <fill>
      <patternFill patternType="solid">
        <fgColor theme="5" tint="0.79998168889431442"/>
        <bgColor indexed="64"/>
      </patternFill>
    </fill>
    <fill>
      <patternFill patternType="solid">
        <fgColor rgb="FFFFC000"/>
        <bgColor indexed="64"/>
      </patternFill>
    </fill>
  </fills>
  <borders count="20">
    <border>
      <left/>
      <right/>
      <top/>
      <bottom/>
      <diagonal/>
    </border>
    <border>
      <left/>
      <right/>
      <top/>
      <bottom style="thick">
        <color rgb="FF6AB0E0"/>
      </bottom>
      <diagonal/>
    </border>
    <border>
      <left/>
      <right/>
      <top/>
      <bottom style="medium">
        <color rgb="FF6AB0E0"/>
      </bottom>
      <diagonal/>
    </border>
    <border>
      <left/>
      <right/>
      <top/>
      <bottom style="medium">
        <color theme="7" tint="-0.499984740745262"/>
      </bottom>
      <diagonal/>
    </border>
    <border>
      <left/>
      <right/>
      <top/>
      <bottom style="thin">
        <color theme="7" tint="-0.499984740745262"/>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67">
    <xf numFmtId="0" fontId="0" fillId="0" borderId="0"/>
    <xf numFmtId="3" fontId="4" fillId="5" borderId="0" applyNumberFormat="0" applyBorder="0"/>
    <xf numFmtId="3" fontId="4" fillId="4" borderId="0" applyNumberFormat="0" applyBorder="0">
      <protection locked="0"/>
    </xf>
    <xf numFmtId="3" fontId="4" fillId="3" borderId="0" applyNumberFormat="0" applyBorder="0"/>
    <xf numFmtId="0" fontId="7" fillId="2" borderId="1"/>
    <xf numFmtId="0" fontId="9" fillId="0" borderId="1"/>
    <xf numFmtId="0" fontId="11" fillId="6" borderId="4"/>
    <xf numFmtId="0" fontId="5" fillId="0" borderId="0"/>
    <xf numFmtId="0" fontId="6" fillId="0" borderId="0"/>
    <xf numFmtId="0" fontId="10" fillId="0" borderId="3"/>
    <xf numFmtId="0" fontId="8" fillId="0" borderId="2"/>
    <xf numFmtId="3" fontId="4" fillId="7" borderId="0" applyNumberFormat="0" applyBorder="0"/>
    <xf numFmtId="0" fontId="4" fillId="8" borderId="0" applyNumberFormat="0" applyBorder="0">
      <protection locked="0"/>
    </xf>
    <xf numFmtId="0" fontId="3" fillId="0" borderId="0"/>
    <xf numFmtId="0" fontId="13" fillId="0" borderId="0"/>
    <xf numFmtId="0" fontId="12" fillId="0" borderId="0"/>
    <xf numFmtId="43" fontId="12" fillId="0" borderId="0" applyFont="0" applyFill="0" applyBorder="0" applyAlignment="0" applyProtection="0"/>
    <xf numFmtId="0" fontId="12" fillId="0" borderId="0"/>
    <xf numFmtId="0" fontId="15" fillId="0" borderId="0"/>
    <xf numFmtId="0" fontId="16" fillId="0" borderId="0"/>
    <xf numFmtId="43" fontId="3" fillId="0" borderId="0" applyFont="0" applyFill="0" applyBorder="0" applyAlignment="0" applyProtection="0"/>
    <xf numFmtId="0" fontId="4" fillId="8" borderId="0" applyBorder="0">
      <protection locked="0"/>
    </xf>
    <xf numFmtId="43" fontId="12" fillId="0" borderId="0" applyFont="0" applyFill="0" applyBorder="0" applyAlignment="0" applyProtection="0"/>
    <xf numFmtId="9" fontId="12" fillId="0" borderId="0" applyFont="0" applyFill="0" applyBorder="0" applyAlignment="0" applyProtection="0"/>
    <xf numFmtId="0" fontId="2" fillId="0" borderId="0"/>
    <xf numFmtId="9" fontId="2" fillId="0" borderId="0" applyFont="0" applyFill="0" applyBorder="0" applyAlignment="0" applyProtection="0"/>
    <xf numFmtId="0" fontId="29" fillId="0" borderId="0" applyNumberFormat="0" applyFill="0" applyBorder="0" applyAlignment="0" applyProtection="0"/>
    <xf numFmtId="0" fontId="13" fillId="0" borderId="0"/>
    <xf numFmtId="0" fontId="34" fillId="0" borderId="0"/>
    <xf numFmtId="0" fontId="13" fillId="0" borderId="0"/>
    <xf numFmtId="0" fontId="34" fillId="0" borderId="0"/>
    <xf numFmtId="0" fontId="35" fillId="12" borderId="0" applyNumberFormat="0" applyBorder="0" applyAlignment="0" applyProtection="0"/>
    <xf numFmtId="43" fontId="1" fillId="0" borderId="0" applyFont="0" applyFill="0" applyBorder="0" applyAlignment="0" applyProtection="0"/>
    <xf numFmtId="0" fontId="22" fillId="13" borderId="0" applyNumberFormat="0" applyBorder="0" applyAlignment="0" applyProtection="0"/>
    <xf numFmtId="0" fontId="13" fillId="0" borderId="0"/>
    <xf numFmtId="0" fontId="1" fillId="0" borderId="0"/>
    <xf numFmtId="0" fontId="1" fillId="0" borderId="0"/>
    <xf numFmtId="0" fontId="1" fillId="0" borderId="0"/>
    <xf numFmtId="0" fontId="34" fillId="0" borderId="0"/>
    <xf numFmtId="0" fontId="1" fillId="0" borderId="0"/>
    <xf numFmtId="0" fontId="34"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21" fillId="0" borderId="0"/>
    <xf numFmtId="0" fontId="13" fillId="0" borderId="0"/>
    <xf numFmtId="0" fontId="13" fillId="0" borderId="0"/>
    <xf numFmtId="9" fontId="3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0" fontId="22" fillId="14" borderId="0" applyBorder="0" applyAlignment="0" applyProtection="0"/>
    <xf numFmtId="0" fontId="33" fillId="0" borderId="0" applyNumberFormat="0" applyFill="0" applyBorder="0" applyAlignment="0" applyProtection="0"/>
  </cellStyleXfs>
  <cellXfs count="215">
    <xf numFmtId="0" fontId="0" fillId="0" borderId="0" xfId="0"/>
    <xf numFmtId="0" fontId="0" fillId="0" borderId="0" xfId="0"/>
    <xf numFmtId="0" fontId="3" fillId="0" borderId="0" xfId="13"/>
    <xf numFmtId="0" fontId="9" fillId="0" borderId="1" xfId="5" applyAlignment="1">
      <alignment wrapText="1"/>
    </xf>
    <xf numFmtId="0" fontId="12" fillId="0" borderId="0" xfId="17"/>
    <xf numFmtId="0" fontId="12" fillId="0" borderId="0" xfId="17" applyAlignment="1">
      <alignment wrapText="1"/>
    </xf>
    <xf numFmtId="0" fontId="12" fillId="10" borderId="0" xfId="17" applyFill="1"/>
    <xf numFmtId="0" fontId="14" fillId="0" borderId="0" xfId="17" applyFont="1"/>
    <xf numFmtId="0" fontId="9" fillId="10" borderId="1" xfId="5" applyFill="1" applyAlignment="1">
      <alignment wrapText="1"/>
    </xf>
    <xf numFmtId="0" fontId="4" fillId="4" borderId="5" xfId="2" applyNumberFormat="1" applyFont="1" applyBorder="1" applyAlignment="1">
      <alignment vertical="center"/>
      <protection locked="0"/>
    </xf>
    <xf numFmtId="0" fontId="25" fillId="4" borderId="5" xfId="2" applyNumberFormat="1" applyFont="1" applyBorder="1" applyAlignment="1">
      <alignment vertical="center"/>
      <protection locked="0"/>
    </xf>
    <xf numFmtId="0" fontId="12" fillId="0" borderId="0" xfId="17" applyFont="1"/>
    <xf numFmtId="0" fontId="4" fillId="0" borderId="0" xfId="17" applyFont="1"/>
    <xf numFmtId="43" fontId="4" fillId="10" borderId="0" xfId="20" applyFont="1" applyFill="1"/>
    <xf numFmtId="0" fontId="4" fillId="0" borderId="0" xfId="17" applyFont="1" applyAlignment="1">
      <alignment wrapText="1"/>
    </xf>
    <xf numFmtId="0" fontId="12" fillId="0" borderId="0" xfId="17" applyFont="1" applyAlignment="1">
      <alignment vertical="center" wrapText="1"/>
    </xf>
    <xf numFmtId="43" fontId="4" fillId="4" borderId="5" xfId="22" applyFont="1" applyFill="1" applyBorder="1" applyAlignment="1" applyProtection="1">
      <alignment vertical="center" wrapText="1"/>
      <protection locked="0"/>
    </xf>
    <xf numFmtId="43" fontId="4" fillId="4" borderId="5" xfId="22" applyFont="1" applyFill="1" applyBorder="1" applyAlignment="1" applyProtection="1">
      <alignment vertical="center"/>
      <protection locked="0"/>
    </xf>
    <xf numFmtId="176" fontId="4" fillId="4" borderId="5" xfId="22" applyNumberFormat="1" applyFont="1" applyFill="1" applyBorder="1" applyAlignment="1" applyProtection="1">
      <alignment vertical="center" wrapText="1"/>
      <protection locked="0"/>
    </xf>
    <xf numFmtId="176" fontId="4" fillId="4" borderId="5" xfId="22" applyNumberFormat="1" applyFont="1" applyFill="1" applyBorder="1" applyAlignment="1" applyProtection="1">
      <alignment vertical="center"/>
      <protection locked="0"/>
    </xf>
    <xf numFmtId="176" fontId="4" fillId="10" borderId="0" xfId="22" applyNumberFormat="1" applyFont="1" applyFill="1"/>
    <xf numFmtId="43" fontId="4" fillId="0" borderId="0" xfId="22" applyFont="1" applyAlignment="1">
      <alignment wrapText="1"/>
    </xf>
    <xf numFmtId="43" fontId="4" fillId="0" borderId="0" xfId="22" applyFont="1" applyAlignment="1">
      <alignment vertical="center" wrapText="1"/>
    </xf>
    <xf numFmtId="43" fontId="26" fillId="4" borderId="5" xfId="22" applyFont="1" applyFill="1" applyBorder="1" applyAlignment="1" applyProtection="1">
      <alignment vertical="center"/>
      <protection locked="0"/>
    </xf>
    <xf numFmtId="43" fontId="25" fillId="4" borderId="5" xfId="22" applyFont="1" applyFill="1" applyBorder="1" applyAlignment="1" applyProtection="1">
      <alignment vertical="center"/>
      <protection locked="0"/>
    </xf>
    <xf numFmtId="43" fontId="4" fillId="0" borderId="0" xfId="22" applyFont="1"/>
    <xf numFmtId="43" fontId="12" fillId="0" borderId="0" xfId="22" applyFont="1"/>
    <xf numFmtId="43" fontId="12" fillId="0" borderId="0" xfId="22" applyFont="1" applyAlignment="1">
      <alignment vertical="center" wrapText="1"/>
    </xf>
    <xf numFmtId="0" fontId="14" fillId="0" borderId="0" xfId="0" applyFont="1" applyAlignment="1">
      <alignment vertical="top"/>
    </xf>
    <xf numFmtId="0" fontId="27" fillId="0" borderId="0" xfId="0" applyFont="1" applyAlignment="1">
      <alignment horizontal="left" vertical="top" wrapText="1"/>
    </xf>
    <xf numFmtId="0" fontId="27" fillId="0" borderId="0" xfId="0" applyFont="1" applyAlignment="1">
      <alignment vertical="top"/>
    </xf>
    <xf numFmtId="0" fontId="28" fillId="0" borderId="0" xfId="0" applyFont="1"/>
    <xf numFmtId="177" fontId="0" fillId="0" borderId="0" xfId="0" quotePrefix="1" applyNumberFormat="1" applyAlignment="1">
      <alignment horizontal="left"/>
    </xf>
    <xf numFmtId="0" fontId="14" fillId="0" borderId="0" xfId="0" applyFont="1"/>
    <xf numFmtId="0" fontId="29" fillId="0" borderId="0" xfId="26"/>
    <xf numFmtId="0" fontId="0" fillId="0" borderId="6" xfId="0" applyBorder="1"/>
    <xf numFmtId="0" fontId="25" fillId="4" borderId="6" xfId="2" applyNumberFormat="1" applyFont="1" applyBorder="1" applyAlignment="1">
      <alignment vertical="center"/>
      <protection locked="0"/>
    </xf>
    <xf numFmtId="0" fontId="0" fillId="0" borderId="6" xfId="0" applyBorder="1" applyAlignment="1"/>
    <xf numFmtId="0" fontId="9" fillId="0" borderId="1" xfId="5" applyFill="1" applyAlignment="1">
      <alignment wrapText="1"/>
    </xf>
    <xf numFmtId="0" fontId="9" fillId="0" borderId="1" xfId="5" applyFont="1" applyFill="1" applyBorder="1" applyAlignment="1">
      <alignment wrapText="1"/>
    </xf>
    <xf numFmtId="9" fontId="25" fillId="0" borderId="6" xfId="0" applyNumberFormat="1" applyFont="1" applyBorder="1" applyAlignment="1">
      <alignment horizontal="center"/>
    </xf>
    <xf numFmtId="0" fontId="0" fillId="0" borderId="0" xfId="0" applyFont="1"/>
    <xf numFmtId="43" fontId="26" fillId="4" borderId="5" xfId="22" applyFont="1" applyFill="1" applyBorder="1" applyAlignment="1" applyProtection="1">
      <alignment vertical="center" wrapText="1"/>
      <protection locked="0"/>
    </xf>
    <xf numFmtId="176" fontId="26" fillId="4" borderId="5" xfId="22" applyNumberFormat="1" applyFont="1" applyFill="1" applyBorder="1" applyAlignment="1" applyProtection="1">
      <alignment vertical="center" wrapText="1"/>
      <protection locked="0"/>
    </xf>
    <xf numFmtId="176" fontId="26" fillId="4" borderId="5" xfId="22" applyNumberFormat="1" applyFont="1" applyFill="1" applyBorder="1" applyAlignment="1" applyProtection="1">
      <alignment vertical="center"/>
      <protection locked="0"/>
    </xf>
    <xf numFmtId="178" fontId="26" fillId="4" borderId="5" xfId="22" applyNumberFormat="1" applyFont="1" applyFill="1" applyBorder="1" applyAlignment="1" applyProtection="1">
      <alignment vertical="center" wrapText="1"/>
      <protection locked="0"/>
    </xf>
    <xf numFmtId="4" fontId="30" fillId="0" borderId="0" xfId="17" applyNumberFormat="1" applyFont="1" applyAlignment="1">
      <alignment horizontal="right" vertical="top"/>
    </xf>
    <xf numFmtId="4" fontId="9" fillId="0" borderId="1" xfId="5" applyNumberFormat="1" applyFill="1" applyAlignment="1">
      <alignment wrapText="1"/>
    </xf>
    <xf numFmtId="4" fontId="12" fillId="0" borderId="0" xfId="17" applyNumberFormat="1" applyAlignment="1">
      <alignment wrapText="1"/>
    </xf>
    <xf numFmtId="4" fontId="4" fillId="0" borderId="0" xfId="17" applyNumberFormat="1" applyFont="1" applyAlignment="1">
      <alignment wrapText="1"/>
    </xf>
    <xf numFmtId="0" fontId="0" fillId="11" borderId="6" xfId="0" applyFill="1" applyBorder="1"/>
    <xf numFmtId="0" fontId="0" fillId="10" borderId="11" xfId="0" applyFill="1" applyBorder="1" applyAlignment="1">
      <alignment horizontal="left"/>
    </xf>
    <xf numFmtId="0" fontId="0" fillId="10" borderId="12" xfId="0" applyFill="1" applyBorder="1" applyAlignment="1">
      <alignment horizontal="left"/>
    </xf>
    <xf numFmtId="0" fontId="0" fillId="10" borderId="13" xfId="0" applyFill="1" applyBorder="1" applyAlignment="1">
      <alignment horizontal="left"/>
    </xf>
    <xf numFmtId="43" fontId="4" fillId="11" borderId="5" xfId="22" applyFont="1" applyFill="1" applyBorder="1" applyAlignment="1" applyProtection="1">
      <alignment vertical="center" wrapText="1"/>
      <protection locked="0"/>
    </xf>
    <xf numFmtId="9" fontId="4" fillId="11" borderId="5" xfId="2" applyNumberFormat="1" applyFont="1" applyFill="1" applyBorder="1" applyAlignment="1">
      <alignment horizontal="center" vertical="center"/>
      <protection locked="0"/>
    </xf>
    <xf numFmtId="9" fontId="4" fillId="11" borderId="5" xfId="23" applyFont="1" applyFill="1" applyBorder="1" applyAlignment="1" applyProtection="1">
      <alignment horizontal="center" vertical="center"/>
      <protection locked="0"/>
    </xf>
    <xf numFmtId="0" fontId="31" fillId="4" borderId="6" xfId="26" applyFont="1" applyFill="1" applyBorder="1" applyAlignment="1"/>
    <xf numFmtId="0" fontId="14" fillId="0" borderId="0" xfId="0" applyFont="1" applyFill="1" applyBorder="1"/>
    <xf numFmtId="0" fontId="14" fillId="15" borderId="6" xfId="0" applyFont="1" applyFill="1" applyBorder="1" applyAlignment="1">
      <alignment wrapText="1"/>
    </xf>
    <xf numFmtId="1" fontId="0" fillId="0" borderId="0" xfId="0" applyNumberFormat="1"/>
    <xf numFmtId="164" fontId="0" fillId="0" borderId="0" xfId="0" applyNumberFormat="1"/>
    <xf numFmtId="0" fontId="18" fillId="0" borderId="0" xfId="28" applyFont="1"/>
    <xf numFmtId="0" fontId="19" fillId="0" borderId="0" xfId="28" applyFont="1"/>
    <xf numFmtId="0" fontId="17" fillId="0" borderId="0" xfId="0" applyFont="1"/>
    <xf numFmtId="0" fontId="0" fillId="10" borderId="8" xfId="0" applyFill="1" applyBorder="1" applyAlignment="1">
      <alignment horizontal="left"/>
    </xf>
    <xf numFmtId="0" fontId="0" fillId="10" borderId="9" xfId="0" applyFill="1" applyBorder="1" applyAlignment="1">
      <alignment horizontal="left"/>
    </xf>
    <xf numFmtId="0" fontId="0" fillId="10" borderId="10" xfId="0" applyFill="1" applyBorder="1" applyAlignment="1">
      <alignment horizontal="left"/>
    </xf>
    <xf numFmtId="0" fontId="41" fillId="4" borderId="6" xfId="26" applyFont="1" applyFill="1" applyBorder="1" applyAlignment="1"/>
    <xf numFmtId="0" fontId="29" fillId="0" borderId="0" xfId="26" applyAlignment="1">
      <alignment horizontal="center"/>
    </xf>
    <xf numFmtId="0" fontId="42" fillId="0" borderId="0" xfId="0" applyFont="1"/>
    <xf numFmtId="0" fontId="25" fillId="0" borderId="0" xfId="26" applyFont="1" applyFill="1" applyBorder="1" applyAlignment="1"/>
    <xf numFmtId="0" fontId="19" fillId="0" borderId="0" xfId="28" applyFont="1" applyFill="1"/>
    <xf numFmtId="0" fontId="29" fillId="0" borderId="0" xfId="26" applyAlignment="1">
      <alignment horizontal="left" vertical="center"/>
    </xf>
    <xf numFmtId="0" fontId="14" fillId="0" borderId="0" xfId="0" applyFont="1" applyFill="1"/>
    <xf numFmtId="0" fontId="29" fillId="0" borderId="0" xfId="26" applyFill="1"/>
    <xf numFmtId="0" fontId="40" fillId="0" borderId="0" xfId="0" applyFont="1"/>
    <xf numFmtId="0" fontId="0" fillId="0" borderId="0" xfId="0" applyFont="1" applyFill="1" applyAlignment="1">
      <alignment horizontal="left"/>
    </xf>
    <xf numFmtId="0" fontId="0" fillId="0" borderId="0" xfId="0" applyAlignment="1">
      <alignment vertical="center"/>
    </xf>
    <xf numFmtId="0" fontId="14" fillId="0" borderId="0" xfId="0" applyFont="1" applyAlignment="1">
      <alignment vertical="center"/>
    </xf>
    <xf numFmtId="0" fontId="0" fillId="0" borderId="0" xfId="0" applyFill="1" applyBorder="1"/>
    <xf numFmtId="0" fontId="12" fillId="0" borderId="0" xfId="0" applyFont="1"/>
    <xf numFmtId="0" fontId="4" fillId="0" borderId="0" xfId="0" applyFont="1"/>
    <xf numFmtId="4" fontId="0" fillId="11" borderId="6" xfId="0" applyNumberFormat="1" applyFill="1" applyBorder="1" applyAlignment="1">
      <alignment horizontal="center"/>
    </xf>
    <xf numFmtId="0" fontId="0" fillId="0" borderId="0" xfId="0" applyBorder="1"/>
    <xf numFmtId="173" fontId="0" fillId="11" borderId="6" xfId="0" applyNumberFormat="1" applyFill="1" applyBorder="1" applyAlignment="1">
      <alignment horizontal="center"/>
    </xf>
    <xf numFmtId="1" fontId="0" fillId="0" borderId="0" xfId="0" applyNumberFormat="1" applyFill="1"/>
    <xf numFmtId="0" fontId="0" fillId="0" borderId="0" xfId="0" applyFont="1" applyFill="1"/>
    <xf numFmtId="9" fontId="4" fillId="4" borderId="6" xfId="2" applyNumberFormat="1" applyFont="1" applyBorder="1" applyAlignment="1">
      <alignment horizontal="center" vertical="center"/>
      <protection locked="0"/>
    </xf>
    <xf numFmtId="2" fontId="4" fillId="4" borderId="6" xfId="2" applyNumberFormat="1" applyFont="1" applyBorder="1" applyAlignment="1">
      <alignment horizontal="center" vertical="center"/>
      <protection locked="0"/>
    </xf>
    <xf numFmtId="0" fontId="14" fillId="15" borderId="6" xfId="0" applyFont="1" applyFill="1" applyBorder="1" applyAlignment="1">
      <alignment vertical="center" wrapText="1"/>
    </xf>
    <xf numFmtId="0" fontId="14" fillId="15" borderId="6" xfId="0" applyFont="1" applyFill="1" applyBorder="1" applyAlignment="1">
      <alignment horizontal="center" vertical="center" wrapText="1"/>
    </xf>
    <xf numFmtId="174" fontId="0" fillId="0" borderId="6" xfId="0" applyNumberFormat="1" applyBorder="1" applyAlignment="1">
      <alignment horizontal="center" vertical="center"/>
    </xf>
    <xf numFmtId="1" fontId="0" fillId="0" borderId="6" xfId="0" applyNumberFormat="1" applyBorder="1" applyAlignment="1">
      <alignment horizontal="center" vertical="center"/>
    </xf>
    <xf numFmtId="0" fontId="32" fillId="0" borderId="6" xfId="26" applyFont="1" applyFill="1" applyBorder="1" applyAlignment="1"/>
    <xf numFmtId="173" fontId="4" fillId="11" borderId="6" xfId="0" applyNumberFormat="1" applyFont="1" applyFill="1" applyBorder="1" applyAlignment="1">
      <alignment horizontal="center"/>
    </xf>
    <xf numFmtId="9" fontId="4" fillId="11" borderId="6" xfId="0" applyNumberFormat="1" applyFont="1" applyFill="1" applyBorder="1" applyAlignment="1">
      <alignment horizontal="center"/>
    </xf>
    <xf numFmtId="0" fontId="45" fillId="0" borderId="0" xfId="0" applyFont="1"/>
    <xf numFmtId="1" fontId="45" fillId="0" borderId="0" xfId="0" applyNumberFormat="1" applyFont="1"/>
    <xf numFmtId="0" fontId="3" fillId="4" borderId="0" xfId="13" applyFill="1"/>
    <xf numFmtId="0" fontId="0" fillId="16" borderId="6" xfId="0" applyFill="1" applyBorder="1"/>
    <xf numFmtId="173" fontId="14" fillId="0" borderId="18" xfId="0" applyNumberFormat="1" applyFont="1" applyBorder="1" applyAlignment="1">
      <alignment horizontal="center"/>
    </xf>
    <xf numFmtId="173" fontId="14" fillId="11" borderId="19" xfId="0" applyNumberFormat="1" applyFont="1" applyFill="1" applyBorder="1" applyAlignment="1">
      <alignment horizontal="center"/>
    </xf>
    <xf numFmtId="0" fontId="29" fillId="11" borderId="6" xfId="26" applyFill="1" applyBorder="1" applyAlignment="1">
      <alignment vertical="center"/>
    </xf>
    <xf numFmtId="0" fontId="45" fillId="0" borderId="6" xfId="0" applyFont="1" applyBorder="1"/>
    <xf numFmtId="0" fontId="0" fillId="0" borderId="6" xfId="0" applyFont="1" applyBorder="1"/>
    <xf numFmtId="170" fontId="20" fillId="0" borderId="6" xfId="19" applyNumberFormat="1" applyFont="1" applyFill="1" applyBorder="1" applyAlignment="1">
      <alignment horizontal="center" vertical="top"/>
    </xf>
    <xf numFmtId="0" fontId="20" fillId="0" borderId="6" xfId="19" applyFont="1" applyFill="1" applyBorder="1" applyAlignment="1">
      <alignment horizontal="center" vertical="top"/>
    </xf>
    <xf numFmtId="166" fontId="21" fillId="0" borderId="6" xfId="19" applyNumberFormat="1" applyFont="1" applyFill="1" applyBorder="1" applyAlignment="1">
      <alignment horizontal="center" vertical="top"/>
    </xf>
    <xf numFmtId="0" fontId="21" fillId="0" borderId="6" xfId="13" applyFont="1" applyBorder="1" applyAlignment="1">
      <alignment vertical="center" wrapText="1"/>
    </xf>
    <xf numFmtId="16" fontId="21" fillId="0" borderId="6" xfId="13" applyNumberFormat="1" applyFont="1" applyBorder="1" applyAlignment="1">
      <alignment vertical="center" wrapText="1"/>
    </xf>
    <xf numFmtId="17" fontId="21" fillId="0" borderId="6" xfId="13" applyNumberFormat="1" applyFont="1" applyBorder="1" applyAlignment="1">
      <alignment vertical="center" wrapText="1"/>
    </xf>
    <xf numFmtId="0" fontId="21" fillId="0" borderId="0" xfId="17" applyFont="1"/>
    <xf numFmtId="0" fontId="20" fillId="15" borderId="6" xfId="5" applyFont="1" applyFill="1" applyBorder="1" applyAlignment="1">
      <alignment wrapText="1"/>
    </xf>
    <xf numFmtId="0" fontId="20" fillId="15" borderId="6" xfId="5" applyFont="1" applyFill="1" applyBorder="1" applyAlignment="1">
      <alignment horizontal="center" wrapText="1"/>
    </xf>
    <xf numFmtId="0" fontId="20" fillId="9" borderId="0" xfId="18" applyFont="1" applyFill="1" applyAlignment="1">
      <alignment vertical="top"/>
    </xf>
    <xf numFmtId="0" fontId="21" fillId="0" borderId="6" xfId="18" applyFont="1" applyFill="1" applyBorder="1" applyAlignment="1">
      <alignment vertical="top"/>
    </xf>
    <xf numFmtId="0" fontId="21" fillId="0" borderId="6" xfId="18" applyFont="1" applyFill="1" applyBorder="1" applyAlignment="1">
      <alignment horizontal="center" vertical="top"/>
    </xf>
    <xf numFmtId="4" fontId="21" fillId="9" borderId="0" xfId="18" applyNumberFormat="1" applyFont="1" applyFill="1" applyAlignment="1">
      <alignment vertical="top"/>
    </xf>
    <xf numFmtId="166" fontId="21" fillId="0" borderId="6" xfId="18" applyNumberFormat="1" applyFont="1" applyFill="1" applyBorder="1" applyAlignment="1">
      <alignment horizontal="center" vertical="top"/>
    </xf>
    <xf numFmtId="167" fontId="21" fillId="9" borderId="0" xfId="18" applyNumberFormat="1" applyFont="1" applyFill="1" applyAlignment="1">
      <alignment vertical="top"/>
    </xf>
    <xf numFmtId="3" fontId="21" fillId="0" borderId="6" xfId="18" applyNumberFormat="1" applyFont="1" applyFill="1" applyBorder="1" applyAlignment="1">
      <alignment horizontal="center" vertical="top"/>
    </xf>
    <xf numFmtId="168" fontId="20" fillId="9" borderId="0" xfId="18" applyNumberFormat="1" applyFont="1" applyFill="1" applyAlignment="1">
      <alignment vertical="top"/>
    </xf>
    <xf numFmtId="165" fontId="21" fillId="0" borderId="6" xfId="18" applyNumberFormat="1" applyFont="1" applyFill="1" applyBorder="1" applyAlignment="1">
      <alignment horizontal="center" vertical="top"/>
    </xf>
    <xf numFmtId="4" fontId="20" fillId="9" borderId="0" xfId="18" applyNumberFormat="1" applyFont="1" applyFill="1" applyAlignment="1">
      <alignment vertical="top"/>
    </xf>
    <xf numFmtId="0" fontId="21" fillId="9" borderId="0" xfId="18" applyFont="1" applyFill="1" applyAlignment="1">
      <alignment vertical="top"/>
    </xf>
    <xf numFmtId="165" fontId="21" fillId="9" borderId="0" xfId="18" applyNumberFormat="1" applyFont="1" applyFill="1" applyAlignment="1">
      <alignment vertical="top"/>
    </xf>
    <xf numFmtId="169" fontId="21" fillId="0" borderId="6" xfId="18" applyNumberFormat="1" applyFont="1" applyFill="1" applyBorder="1" applyAlignment="1">
      <alignment horizontal="center" vertical="top"/>
    </xf>
    <xf numFmtId="164" fontId="21" fillId="0" borderId="6" xfId="18" applyNumberFormat="1" applyFont="1" applyFill="1" applyBorder="1" applyAlignment="1">
      <alignment horizontal="center" vertical="top"/>
    </xf>
    <xf numFmtId="170" fontId="20" fillId="0" borderId="6" xfId="18" applyNumberFormat="1" applyFont="1" applyFill="1" applyBorder="1" applyAlignment="1">
      <alignment horizontal="center" vertical="top"/>
    </xf>
    <xf numFmtId="4" fontId="21" fillId="0" borderId="6" xfId="18" applyNumberFormat="1" applyFont="1" applyFill="1" applyBorder="1" applyAlignment="1">
      <alignment horizontal="center" vertical="top"/>
    </xf>
    <xf numFmtId="170" fontId="21" fillId="0" borderId="6" xfId="18" applyNumberFormat="1" applyFont="1" applyFill="1" applyBorder="1" applyAlignment="1">
      <alignment horizontal="center" vertical="top"/>
    </xf>
    <xf numFmtId="171" fontId="21" fillId="0" borderId="6" xfId="18" applyNumberFormat="1" applyFont="1" applyFill="1" applyBorder="1" applyAlignment="1">
      <alignment horizontal="center" vertical="top"/>
    </xf>
    <xf numFmtId="1" fontId="21" fillId="0" borderId="6" xfId="18" applyNumberFormat="1" applyFont="1" applyFill="1" applyBorder="1" applyAlignment="1">
      <alignment horizontal="center" vertical="top"/>
    </xf>
    <xf numFmtId="172" fontId="21" fillId="0" borderId="6" xfId="18" applyNumberFormat="1" applyFont="1" applyFill="1" applyBorder="1" applyAlignment="1">
      <alignment horizontal="center" vertical="top"/>
    </xf>
    <xf numFmtId="169" fontId="20" fillId="0" borderId="6" xfId="18" applyNumberFormat="1" applyFont="1" applyFill="1" applyBorder="1" applyAlignment="1">
      <alignment horizontal="center" vertical="top"/>
    </xf>
    <xf numFmtId="166" fontId="20" fillId="9" borderId="0" xfId="18" applyNumberFormat="1" applyFont="1" applyFill="1" applyAlignment="1">
      <alignment vertical="top"/>
    </xf>
    <xf numFmtId="173" fontId="21" fillId="0" borderId="6" xfId="18" applyNumberFormat="1" applyFont="1" applyFill="1" applyBorder="1" applyAlignment="1">
      <alignment horizontal="center" vertical="top"/>
    </xf>
    <xf numFmtId="174" fontId="21" fillId="0" borderId="6" xfId="18" applyNumberFormat="1" applyFont="1" applyFill="1" applyBorder="1" applyAlignment="1">
      <alignment horizontal="center" vertical="top"/>
    </xf>
    <xf numFmtId="2" fontId="21" fillId="0" borderId="6" xfId="18" applyNumberFormat="1" applyFont="1" applyFill="1" applyBorder="1" applyAlignment="1">
      <alignment horizontal="center" vertical="top"/>
    </xf>
    <xf numFmtId="0" fontId="21" fillId="0" borderId="0" xfId="17" applyFont="1" applyFill="1"/>
    <xf numFmtId="175" fontId="21" fillId="0" borderId="6" xfId="18" applyNumberFormat="1" applyFont="1" applyFill="1" applyBorder="1" applyAlignment="1">
      <alignment horizontal="center" vertical="top"/>
    </xf>
    <xf numFmtId="0" fontId="20" fillId="0" borderId="6" xfId="18" applyFont="1" applyFill="1" applyBorder="1" applyAlignment="1">
      <alignment vertical="top"/>
    </xf>
    <xf numFmtId="0" fontId="20" fillId="0" borderId="0" xfId="18" applyFont="1" applyFill="1" applyAlignment="1">
      <alignment vertical="top"/>
    </xf>
    <xf numFmtId="0" fontId="21" fillId="0" borderId="0" xfId="18" applyFont="1" applyFill="1" applyAlignment="1">
      <alignment vertical="top"/>
    </xf>
    <xf numFmtId="165" fontId="21" fillId="0" borderId="0" xfId="18" applyNumberFormat="1" applyFont="1" applyFill="1" applyAlignment="1">
      <alignment vertical="top"/>
    </xf>
    <xf numFmtId="0" fontId="21" fillId="0" borderId="0" xfId="17" applyFont="1" applyFill="1" applyBorder="1"/>
    <xf numFmtId="0" fontId="21" fillId="0" borderId="0" xfId="17" applyFont="1" applyAlignment="1">
      <alignment horizontal="left"/>
    </xf>
    <xf numFmtId="0" fontId="21" fillId="10" borderId="6" xfId="17" applyFont="1" applyFill="1" applyBorder="1" applyAlignment="1">
      <alignment horizontal="left"/>
    </xf>
    <xf numFmtId="0" fontId="49" fillId="0" borderId="6" xfId="26" applyFont="1" applyBorder="1"/>
    <xf numFmtId="0" fontId="49" fillId="0" borderId="6" xfId="26" applyFont="1" applyBorder="1" applyAlignment="1"/>
    <xf numFmtId="0" fontId="21" fillId="0" borderId="0" xfId="17" applyFont="1" applyBorder="1"/>
    <xf numFmtId="0" fontId="14" fillId="15" borderId="6" xfId="0" applyFont="1" applyFill="1" applyBorder="1"/>
    <xf numFmtId="0" fontId="0" fillId="15" borderId="6" xfId="0" applyFill="1" applyBorder="1"/>
    <xf numFmtId="0" fontId="48" fillId="15" borderId="6" xfId="0" applyFont="1" applyFill="1" applyBorder="1" applyAlignment="1">
      <alignment horizontal="center"/>
    </xf>
    <xf numFmtId="0" fontId="38" fillId="15" borderId="6" xfId="0" applyFont="1" applyFill="1" applyBorder="1" applyAlignment="1">
      <alignment horizontal="center"/>
    </xf>
    <xf numFmtId="171" fontId="47" fillId="0" borderId="6" xfId="0" applyNumberFormat="1" applyFont="1" applyFill="1" applyBorder="1" applyAlignment="1">
      <alignment horizontal="center"/>
    </xf>
    <xf numFmtId="0" fontId="0" fillId="0" borderId="6" xfId="0" applyBorder="1" applyAlignment="1">
      <alignment horizontal="center"/>
    </xf>
    <xf numFmtId="0" fontId="4" fillId="0" borderId="6" xfId="26" applyFont="1" applyFill="1" applyBorder="1" applyAlignment="1">
      <alignment wrapText="1"/>
    </xf>
    <xf numFmtId="0" fontId="4" fillId="0" borderId="0" xfId="0" applyFont="1" applyFill="1"/>
    <xf numFmtId="0" fontId="0" fillId="4" borderId="0" xfId="0" applyFill="1"/>
    <xf numFmtId="0" fontId="14" fillId="4" borderId="0" xfId="0" applyFont="1" applyFill="1"/>
    <xf numFmtId="0" fontId="18" fillId="0" borderId="0" xfId="28" applyFont="1" applyFill="1" applyBorder="1"/>
    <xf numFmtId="1" fontId="0" fillId="0" borderId="0" xfId="0" applyNumberFormat="1" applyFill="1" applyBorder="1"/>
    <xf numFmtId="164" fontId="0" fillId="0" borderId="0" xfId="0" applyNumberFormat="1" applyFill="1" applyBorder="1"/>
    <xf numFmtId="0" fontId="20" fillId="9" borderId="0" xfId="19" applyFont="1" applyFill="1"/>
    <xf numFmtId="0" fontId="20" fillId="0" borderId="0" xfId="19" applyFont="1" applyFill="1"/>
    <xf numFmtId="0" fontId="20" fillId="10" borderId="0" xfId="18" applyFont="1" applyFill="1" applyBorder="1" applyAlignment="1">
      <alignment vertical="top"/>
    </xf>
    <xf numFmtId="0" fontId="20" fillId="0" borderId="0" xfId="10" applyFont="1" applyBorder="1"/>
    <xf numFmtId="0" fontId="21" fillId="0" borderId="0" xfId="10" applyFont="1" applyBorder="1"/>
    <xf numFmtId="0" fontId="21" fillId="0" borderId="0" xfId="14" applyFont="1" applyFill="1" applyBorder="1"/>
    <xf numFmtId="0" fontId="0" fillId="0" borderId="0" xfId="0" applyAlignment="1">
      <alignment horizontal="left" vertical="top"/>
    </xf>
    <xf numFmtId="0" fontId="0" fillId="0" borderId="8" xfId="0" applyBorder="1"/>
    <xf numFmtId="0" fontId="0" fillId="0" borderId="10" xfId="0" applyBorder="1"/>
    <xf numFmtId="0" fontId="29" fillId="4" borderId="6" xfId="26" applyFill="1" applyBorder="1" applyAlignment="1">
      <alignment vertical="center"/>
    </xf>
    <xf numFmtId="0" fontId="29" fillId="15" borderId="6" xfId="26" applyFill="1" applyBorder="1" applyAlignment="1">
      <alignment vertical="center"/>
    </xf>
    <xf numFmtId="0" fontId="38" fillId="0" borderId="0" xfId="13" applyFont="1"/>
    <xf numFmtId="0" fontId="25" fillId="15" borderId="0" xfId="17" applyFont="1" applyFill="1"/>
    <xf numFmtId="43" fontId="25" fillId="15" borderId="0" xfId="20" applyFont="1" applyFill="1"/>
    <xf numFmtId="0" fontId="14" fillId="15" borderId="0" xfId="17" applyFont="1" applyFill="1"/>
    <xf numFmtId="0" fontId="25" fillId="15" borderId="0" xfId="17" applyFont="1" applyFill="1" applyAlignment="1">
      <alignment wrapText="1"/>
    </xf>
    <xf numFmtId="0" fontId="9" fillId="15" borderId="0" xfId="10" applyFont="1" applyFill="1" applyBorder="1" applyAlignment="1">
      <alignment vertical="center"/>
    </xf>
    <xf numFmtId="0" fontId="51" fillId="4" borderId="5" xfId="2" applyNumberFormat="1" applyFont="1" applyBorder="1" applyAlignment="1">
      <alignment vertical="center"/>
      <protection locked="0"/>
    </xf>
    <xf numFmtId="0" fontId="26" fillId="4" borderId="5" xfId="2" applyNumberFormat="1" applyFont="1" applyBorder="1" applyAlignment="1">
      <alignment vertical="center"/>
      <protection locked="0"/>
    </xf>
    <xf numFmtId="4" fontId="4" fillId="11" borderId="5" xfId="22" applyNumberFormat="1" applyFont="1" applyFill="1" applyBorder="1" applyAlignment="1" applyProtection="1">
      <alignment vertical="center"/>
      <protection locked="0"/>
    </xf>
    <xf numFmtId="4" fontId="4" fillId="0" borderId="0" xfId="22" applyNumberFormat="1" applyFont="1" applyAlignment="1"/>
    <xf numFmtId="4" fontId="4" fillId="0" borderId="0" xfId="22" applyNumberFormat="1" applyFont="1" applyAlignment="1">
      <alignment vertical="center"/>
    </xf>
    <xf numFmtId="4" fontId="14" fillId="11" borderId="6" xfId="17" applyNumberFormat="1" applyFont="1" applyFill="1" applyBorder="1" applyAlignment="1">
      <alignment wrapText="1"/>
    </xf>
    <xf numFmtId="0" fontId="52" fillId="0" borderId="0" xfId="0" applyFont="1" applyAlignment="1">
      <alignment vertical="top"/>
    </xf>
    <xf numFmtId="0" fontId="29" fillId="10" borderId="0" xfId="26" applyFill="1"/>
    <xf numFmtId="0" fontId="32" fillId="0" borderId="0" xfId="26" applyFont="1" applyFill="1" applyBorder="1" applyAlignment="1"/>
    <xf numFmtId="9" fontId="0" fillId="11" borderId="6" xfId="0" applyNumberFormat="1" applyFill="1" applyBorder="1" applyAlignment="1">
      <alignment horizontal="center"/>
    </xf>
    <xf numFmtId="0" fontId="25" fillId="4" borderId="6" xfId="2" applyNumberFormat="1" applyFont="1" applyBorder="1" applyAlignment="1">
      <alignment horizontal="right" vertical="center"/>
      <protection locked="0"/>
    </xf>
    <xf numFmtId="177" fontId="0" fillId="0" borderId="0" xfId="0" quotePrefix="1" applyNumberFormat="1" applyAlignment="1">
      <alignment horizontal="right"/>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10" borderId="8" xfId="0" applyFill="1" applyBorder="1" applyAlignment="1">
      <alignment horizontal="left"/>
    </xf>
    <xf numFmtId="0" fontId="0" fillId="10" borderId="9" xfId="0" applyFill="1" applyBorder="1" applyAlignment="1">
      <alignment horizontal="left"/>
    </xf>
    <xf numFmtId="0" fontId="0" fillId="10" borderId="10" xfId="0" applyFill="1" applyBorder="1" applyAlignment="1">
      <alignment horizontal="left"/>
    </xf>
    <xf numFmtId="0" fontId="0" fillId="10" borderId="11" xfId="0" applyFont="1" applyFill="1" applyBorder="1" applyAlignment="1">
      <alignment horizontal="left" vertical="center" wrapText="1"/>
    </xf>
    <xf numFmtId="0" fontId="0" fillId="10" borderId="12" xfId="0" applyFont="1" applyFill="1" applyBorder="1" applyAlignment="1">
      <alignment horizontal="left" vertical="center"/>
    </xf>
    <xf numFmtId="0" fontId="0" fillId="10" borderId="13" xfId="0" applyFont="1" applyFill="1" applyBorder="1" applyAlignment="1">
      <alignment horizontal="left" vertical="center"/>
    </xf>
    <xf numFmtId="0" fontId="0" fillId="10" borderId="7" xfId="0" applyFont="1" applyFill="1" applyBorder="1" applyAlignment="1">
      <alignment horizontal="left" vertical="center"/>
    </xf>
    <xf numFmtId="0" fontId="0" fillId="10" borderId="0" xfId="0" applyFont="1" applyFill="1" applyBorder="1" applyAlignment="1">
      <alignment horizontal="left" vertical="center"/>
    </xf>
    <xf numFmtId="0" fontId="0" fillId="10" borderId="14" xfId="0" applyFont="1" applyFill="1" applyBorder="1" applyAlignment="1">
      <alignment horizontal="left" vertical="center"/>
    </xf>
    <xf numFmtId="0" fontId="0" fillId="10" borderId="15" xfId="0" applyFont="1" applyFill="1" applyBorder="1" applyAlignment="1">
      <alignment horizontal="left" vertical="center"/>
    </xf>
    <xf numFmtId="0" fontId="0" fillId="10" borderId="16" xfId="0" applyFont="1" applyFill="1" applyBorder="1" applyAlignment="1">
      <alignment horizontal="left" vertical="center"/>
    </xf>
    <xf numFmtId="0" fontId="0" fillId="10" borderId="17" xfId="0" applyFont="1" applyFill="1" applyBorder="1" applyAlignment="1">
      <alignment horizontal="left" vertic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cellXfs>
  <cellStyles count="67">
    <cellStyle name="60% - Accent1 4 2" xfId="31" xr:uid="{00000000-0005-0000-0000-000000000000}"/>
    <cellStyle name="Calculation - 1" xfId="3" xr:uid="{00000000-0005-0000-0000-000001000000}"/>
    <cellStyle name="Calculation - 2" xfId="1" xr:uid="{00000000-0005-0000-0000-000002000000}"/>
    <cellStyle name="Calculation - 3" xfId="11" xr:uid="{00000000-0005-0000-0000-000003000000}"/>
    <cellStyle name="Comma" xfId="22" builtinId="3"/>
    <cellStyle name="Comma 141" xfId="32" xr:uid="{00000000-0005-0000-0000-000005000000}"/>
    <cellStyle name="Comma 2" xfId="20" xr:uid="{00000000-0005-0000-0000-000006000000}"/>
    <cellStyle name="Comma 5" xfId="16" xr:uid="{00000000-0005-0000-0000-000007000000}"/>
    <cellStyle name="Free Entry" xfId="2" xr:uid="{00000000-0005-0000-0000-000008000000}"/>
    <cellStyle name="Heading - 1" xfId="5" xr:uid="{00000000-0005-0000-0000-000009000000}"/>
    <cellStyle name="Heading - 2" xfId="9" xr:uid="{00000000-0005-0000-0000-00000A000000}"/>
    <cellStyle name="Hyperlink" xfId="26" builtinId="8"/>
    <cellStyle name="Linked Cell 2 8" xfId="33" xr:uid="{00000000-0005-0000-0000-00000C000000}"/>
    <cellStyle name="Listed Input" xfId="12" xr:uid="{00000000-0005-0000-0000-00000D000000}"/>
    <cellStyle name="Listed Input 2" xfId="21" xr:uid="{00000000-0005-0000-0000-00000E000000}"/>
    <cellStyle name="Named Range" xfId="8" xr:uid="{00000000-0005-0000-0000-00000F000000}"/>
    <cellStyle name="Normal" xfId="0" builtinId="0" customBuiltin="1"/>
    <cellStyle name="Normal - Style1 2" xfId="34" xr:uid="{00000000-0005-0000-0000-000011000000}"/>
    <cellStyle name="Normal 10 10" xfId="35" xr:uid="{00000000-0005-0000-0000-000012000000}"/>
    <cellStyle name="Normal 10 10 4" xfId="36" xr:uid="{00000000-0005-0000-0000-000013000000}"/>
    <cellStyle name="Normal 10 10 5" xfId="37" xr:uid="{00000000-0005-0000-0000-000014000000}"/>
    <cellStyle name="Normal 10 13" xfId="38" xr:uid="{00000000-0005-0000-0000-000015000000}"/>
    <cellStyle name="Normal 119" xfId="39" xr:uid="{00000000-0005-0000-0000-000016000000}"/>
    <cellStyle name="Normal 119 2" xfId="40" xr:uid="{00000000-0005-0000-0000-000017000000}"/>
    <cellStyle name="Normal 134 2 2" xfId="41" xr:uid="{00000000-0005-0000-0000-000018000000}"/>
    <cellStyle name="Normal 155 2" xfId="42" xr:uid="{00000000-0005-0000-0000-000019000000}"/>
    <cellStyle name="Normal 156" xfId="43" xr:uid="{00000000-0005-0000-0000-00001A000000}"/>
    <cellStyle name="Normal 157" xfId="44" xr:uid="{00000000-0005-0000-0000-00001B000000}"/>
    <cellStyle name="Normal 164" xfId="45" xr:uid="{00000000-0005-0000-0000-00001C000000}"/>
    <cellStyle name="Normal 165" xfId="46" xr:uid="{00000000-0005-0000-0000-00001D000000}"/>
    <cellStyle name="Normal 166" xfId="47" xr:uid="{00000000-0005-0000-0000-00001E000000}"/>
    <cellStyle name="Normal 167" xfId="48" xr:uid="{00000000-0005-0000-0000-00001F000000}"/>
    <cellStyle name="Normal 168" xfId="49" xr:uid="{00000000-0005-0000-0000-000020000000}"/>
    <cellStyle name="Normal 169" xfId="50" xr:uid="{00000000-0005-0000-0000-000021000000}"/>
    <cellStyle name="Normal 170" xfId="51" xr:uid="{00000000-0005-0000-0000-000022000000}"/>
    <cellStyle name="Normal 2" xfId="13" xr:uid="{00000000-0005-0000-0000-000023000000}"/>
    <cellStyle name="Normal 2 10" xfId="52" xr:uid="{00000000-0005-0000-0000-000024000000}"/>
    <cellStyle name="Normal 2 2" xfId="30" xr:uid="{00000000-0005-0000-0000-000025000000}"/>
    <cellStyle name="Normal 2 2 9 3" xfId="53" xr:uid="{00000000-0005-0000-0000-000026000000}"/>
    <cellStyle name="Normal 2 24" xfId="54" xr:uid="{00000000-0005-0000-0000-000027000000}"/>
    <cellStyle name="Normal 2 25" xfId="55" xr:uid="{00000000-0005-0000-0000-000028000000}"/>
    <cellStyle name="Normal 2 61" xfId="17" xr:uid="{00000000-0005-0000-0000-000029000000}"/>
    <cellStyle name="Normal 3" xfId="24" xr:uid="{00000000-0005-0000-0000-00002A000000}"/>
    <cellStyle name="Normal 3 2" xfId="56" xr:uid="{00000000-0005-0000-0000-00002B000000}"/>
    <cellStyle name="Normal 3 2 2" xfId="29" xr:uid="{00000000-0005-0000-0000-00002C000000}"/>
    <cellStyle name="Normal 4" xfId="14" xr:uid="{00000000-0005-0000-0000-00002D000000}"/>
    <cellStyle name="Normal 4 2" xfId="15" xr:uid="{00000000-0005-0000-0000-00002E000000}"/>
    <cellStyle name="Normal 5" xfId="28" xr:uid="{00000000-0005-0000-0000-00002F000000}"/>
    <cellStyle name="Normal 56" xfId="27" xr:uid="{00000000-0005-0000-0000-000030000000}"/>
    <cellStyle name="Normal 83" xfId="57" xr:uid="{00000000-0005-0000-0000-000031000000}"/>
    <cellStyle name="Normal_Conversion_gal and bbl_final1_updated" xfId="18" xr:uid="{00000000-0005-0000-0000-000032000000}"/>
    <cellStyle name="Normal_European Ethanol SD model_15_clean" xfId="19" xr:uid="{00000000-0005-0000-0000-000034000000}"/>
    <cellStyle name="Percent" xfId="23" builtinId="5"/>
    <cellStyle name="Percent 2" xfId="25" xr:uid="{00000000-0005-0000-0000-000036000000}"/>
    <cellStyle name="Percent 2 14" xfId="58" xr:uid="{00000000-0005-0000-0000-000037000000}"/>
    <cellStyle name="Percent 2 21 2" xfId="59" xr:uid="{00000000-0005-0000-0000-000038000000}"/>
    <cellStyle name="Percent 7 2 2 2 2" xfId="60" xr:uid="{00000000-0005-0000-0000-000039000000}"/>
    <cellStyle name="Percent 87" xfId="61" xr:uid="{00000000-0005-0000-0000-00003A000000}"/>
    <cellStyle name="Percent 90" xfId="62" xr:uid="{00000000-0005-0000-0000-00003B000000}"/>
    <cellStyle name="Percent 92" xfId="63" xr:uid="{00000000-0005-0000-0000-00003C000000}"/>
    <cellStyle name="Percent 98" xfId="64" xr:uid="{00000000-0005-0000-0000-00003D000000}"/>
    <cellStyle name="Reference" xfId="7" xr:uid="{00000000-0005-0000-0000-00003E000000}"/>
    <cellStyle name="Sheet Title" xfId="4" xr:uid="{00000000-0005-0000-0000-00003F000000}"/>
    <cellStyle name="Sub heading - 1" xfId="10" xr:uid="{00000000-0005-0000-0000-000040000000}"/>
    <cellStyle name="Sub heading - 2" xfId="6" xr:uid="{00000000-0005-0000-0000-000041000000}"/>
    <cellStyle name="Title 1" xfId="65" xr:uid="{00000000-0005-0000-0000-000042000000}"/>
    <cellStyle name="Title 3 2" xfId="66" xr:uid="{00000000-0005-0000-0000-000043000000}"/>
  </cellStyles>
  <dxfs count="48">
    <dxf>
      <fill>
        <patternFill>
          <bgColor rgb="FFFF0000"/>
        </patternFill>
      </fill>
    </dxf>
    <dxf>
      <fill>
        <patternFill>
          <bgColor rgb="FFFFC000"/>
        </patternFill>
      </fill>
    </dxf>
    <dxf>
      <fill>
        <patternFill patternType="solid">
          <fgColor theme="7" tint="0.59999389629810485"/>
          <bgColor theme="7" tint="0.59999389629810485"/>
        </patternFill>
      </fill>
    </dxf>
    <dxf>
      <fill>
        <patternFill patternType="solid">
          <fgColor theme="7" tint="0.59999389629810485"/>
          <bgColor theme="7" tint="0.59999389629810485"/>
        </patternFill>
      </fill>
    </dxf>
    <dxf>
      <font>
        <b/>
        <color theme="0"/>
      </font>
      <fill>
        <patternFill patternType="solid">
          <fgColor theme="7"/>
          <bgColor theme="7"/>
        </patternFill>
      </fill>
    </dxf>
    <dxf>
      <font>
        <b/>
        <color theme="0"/>
      </font>
      <fill>
        <patternFill patternType="solid">
          <fgColor theme="7"/>
          <bgColor theme="7"/>
        </patternFill>
      </fill>
    </dxf>
    <dxf>
      <font>
        <b/>
        <color theme="0"/>
      </font>
      <fill>
        <patternFill patternType="solid">
          <fgColor theme="7"/>
          <bgColor theme="7"/>
        </patternFill>
      </fill>
      <border>
        <top style="thick">
          <color theme="0"/>
        </top>
      </border>
    </dxf>
    <dxf>
      <font>
        <b/>
        <color theme="0"/>
      </font>
      <fill>
        <patternFill patternType="solid">
          <fgColor theme="7"/>
          <bgColor theme="7"/>
        </patternFill>
      </fill>
      <border>
        <bottom style="thick">
          <color theme="0"/>
        </bottom>
      </border>
    </dxf>
    <dxf>
      <font>
        <color theme="1"/>
      </font>
      <fill>
        <patternFill patternType="solid">
          <fgColor theme="7" tint="0.79998168889431442"/>
          <bgColor theme="7" tint="0.79998168889431442"/>
        </patternFill>
      </fill>
      <border>
        <vertical style="thin">
          <color theme="0"/>
        </vertical>
        <horizontal style="thin">
          <color theme="0"/>
        </horizontal>
      </border>
    </dxf>
    <dxf>
      <fill>
        <patternFill patternType="solid">
          <fgColor theme="6" tint="0.59999389629810485"/>
          <bgColor theme="6" tint="0.59999389629810485"/>
        </patternFill>
      </fill>
    </dxf>
    <dxf>
      <fill>
        <patternFill patternType="solid">
          <fgColor theme="6" tint="0.59999389629810485"/>
          <bgColor theme="6" tint="0.59999389629810485"/>
        </patternFill>
      </fill>
    </dxf>
    <dxf>
      <font>
        <b/>
        <color theme="0"/>
      </font>
      <fill>
        <patternFill patternType="solid">
          <fgColor theme="6"/>
          <bgColor theme="6"/>
        </patternFill>
      </fill>
    </dxf>
    <dxf>
      <font>
        <b/>
        <color theme="0"/>
      </font>
      <fill>
        <patternFill patternType="solid">
          <fgColor theme="6"/>
          <bgColor theme="6"/>
        </patternFill>
      </fill>
    </dxf>
    <dxf>
      <font>
        <b/>
        <color theme="0"/>
      </font>
      <fill>
        <patternFill patternType="solid">
          <fgColor theme="6"/>
          <bgColor theme="6"/>
        </patternFill>
      </fill>
      <border>
        <top style="thick">
          <color theme="0"/>
        </top>
      </border>
    </dxf>
    <dxf>
      <font>
        <b/>
        <color theme="0"/>
      </font>
      <fill>
        <patternFill patternType="solid">
          <fgColor theme="6"/>
          <bgColor theme="6"/>
        </patternFill>
      </fill>
      <border>
        <bottom style="thick">
          <color theme="0"/>
        </bottom>
      </border>
    </dxf>
    <dxf>
      <font>
        <color theme="1"/>
      </font>
      <fill>
        <patternFill patternType="solid">
          <fgColor theme="6" tint="0.79998168889431442"/>
          <bgColor theme="6" tint="0.79998168889431442"/>
        </patternFill>
      </fill>
      <border>
        <vertical style="thin">
          <color theme="0"/>
        </vertical>
        <horizontal style="thin">
          <color theme="0"/>
        </horizontal>
      </border>
    </dxf>
    <dxf>
      <fill>
        <patternFill patternType="solid">
          <fgColor theme="7" tint="0.79998168889431442"/>
          <bgColor theme="7" tint="0.79998168889431442"/>
        </patternFill>
      </fill>
    </dxf>
    <dxf>
      <fill>
        <patternFill patternType="solid">
          <fgColor theme="7" tint="0.79995117038483843"/>
          <bgColor theme="7" tint="0.59996337778862885"/>
        </patternFill>
      </fill>
    </dxf>
    <dxf>
      <font>
        <b/>
        <color theme="7" tint="-0.249977111117893"/>
      </font>
    </dxf>
    <dxf>
      <font>
        <b/>
        <color theme="7" tint="-0.249977111117893"/>
      </font>
    </dxf>
    <dxf>
      <font>
        <b/>
        <color theme="7" tint="-0.249977111117893"/>
      </font>
      <border>
        <top style="thin">
          <color theme="7"/>
        </top>
      </border>
    </dxf>
    <dxf>
      <font>
        <b/>
        <i val="0"/>
        <color theme="7" tint="-0.499984740745262"/>
      </font>
      <border>
        <bottom style="thin">
          <color theme="7"/>
        </bottom>
      </border>
    </dxf>
    <dxf>
      <font>
        <color theme="7" tint="-0.499984740745262"/>
      </font>
      <border>
        <top style="thin">
          <color theme="7"/>
        </top>
        <bottom style="thin">
          <color theme="7"/>
        </bottom>
      </border>
    </dxf>
    <dxf>
      <fill>
        <patternFill patternType="solid">
          <fgColor theme="6" tint="0.79998168889431442"/>
          <bgColor theme="6" tint="0.79998168889431442"/>
        </patternFill>
      </fill>
    </dxf>
    <dxf>
      <fill>
        <patternFill patternType="solid">
          <fgColor theme="6" tint="0.79995117038483843"/>
          <bgColor theme="6" tint="0.59996337778862885"/>
        </patternFill>
      </fill>
    </dxf>
    <dxf>
      <font>
        <b/>
        <color theme="6" tint="-0.249977111117893"/>
      </font>
    </dxf>
    <dxf>
      <font>
        <b/>
        <color theme="6" tint="-0.249977111117893"/>
      </font>
    </dxf>
    <dxf>
      <font>
        <b/>
        <color theme="6" tint="-0.249977111117893"/>
      </font>
      <border>
        <top style="thin">
          <color theme="6"/>
        </top>
      </border>
    </dxf>
    <dxf>
      <font>
        <b/>
        <i val="0"/>
        <color theme="5"/>
      </font>
      <border>
        <bottom style="thin">
          <color theme="6"/>
        </bottom>
      </border>
    </dxf>
    <dxf>
      <font>
        <color auto="1"/>
      </font>
      <border>
        <top style="thin">
          <color theme="6"/>
        </top>
        <bottom style="thin">
          <color theme="6"/>
        </bottom>
      </border>
    </dxf>
    <dxf>
      <border>
        <left style="thin">
          <color theme="7"/>
        </left>
      </border>
    </dxf>
    <dxf>
      <border>
        <left style="thin">
          <color theme="7"/>
        </left>
      </border>
    </dxf>
    <dxf>
      <border>
        <top style="thin">
          <color theme="7"/>
        </top>
      </border>
    </dxf>
    <dxf>
      <border>
        <top style="thin">
          <color theme="7"/>
        </top>
      </border>
    </dxf>
    <dxf>
      <font>
        <b/>
        <color theme="1"/>
      </font>
    </dxf>
    <dxf>
      <font>
        <b/>
        <color theme="1"/>
      </font>
    </dxf>
    <dxf>
      <font>
        <b/>
        <color theme="1"/>
      </font>
      <border>
        <top style="double">
          <color theme="7"/>
        </top>
      </border>
    </dxf>
    <dxf>
      <font>
        <b/>
        <color theme="0"/>
      </font>
      <fill>
        <patternFill patternType="solid">
          <fgColor theme="7"/>
          <bgColor theme="7"/>
        </patternFill>
      </fill>
    </dxf>
    <dxf>
      <font>
        <color theme="1"/>
      </font>
      <border>
        <left style="thin">
          <color theme="7"/>
        </left>
        <right style="thin">
          <color theme="7"/>
        </right>
        <top style="thin">
          <color theme="7"/>
        </top>
        <bottom style="thin">
          <color theme="7"/>
        </bottom>
      </border>
    </dxf>
    <dxf>
      <border>
        <left style="thin">
          <color theme="6"/>
        </left>
      </border>
    </dxf>
    <dxf>
      <border>
        <left style="thin">
          <color theme="6"/>
        </left>
      </border>
    </dxf>
    <dxf>
      <border>
        <top style="thin">
          <color theme="6"/>
        </top>
      </border>
    </dxf>
    <dxf>
      <border>
        <top style="thin">
          <color theme="6"/>
        </top>
      </border>
    </dxf>
    <dxf>
      <font>
        <b/>
        <color theme="1"/>
      </font>
    </dxf>
    <dxf>
      <font>
        <b/>
        <color theme="1"/>
      </font>
    </dxf>
    <dxf>
      <font>
        <b/>
        <color theme="1"/>
      </font>
      <border>
        <top style="double">
          <color theme="6"/>
        </top>
      </border>
    </dxf>
    <dxf>
      <font>
        <b/>
        <i val="0"/>
        <color theme="0"/>
      </font>
      <fill>
        <patternFill patternType="solid">
          <fgColor theme="6"/>
          <bgColor theme="6"/>
        </patternFill>
      </fill>
    </dxf>
    <dxf>
      <font>
        <color theme="1"/>
      </font>
      <border>
        <left style="thin">
          <color theme="6"/>
        </left>
        <right style="thin">
          <color theme="6"/>
        </right>
        <top style="thin">
          <color theme="6"/>
        </top>
        <bottom style="thin">
          <color theme="6"/>
        </bottom>
      </border>
    </dxf>
  </dxfs>
  <tableStyles count="6" defaultTableStyle="TableStyleMedium2" defaultPivotStyle="PivotStyleLight16">
    <tableStyle name="E4tech Table Style_1" pivot="0" count="9" xr9:uid="{00000000-0011-0000-FFFF-FFFF00000000}">
      <tableStyleElement type="wholeTable" dxfId="47"/>
      <tableStyleElement type="headerRow" dxfId="46"/>
      <tableStyleElement type="totalRow" dxfId="45"/>
      <tableStyleElement type="firstColumn" dxfId="44"/>
      <tableStyleElement type="lastColumn" dxfId="43"/>
      <tableStyleElement type="firstRowStripe" dxfId="42"/>
      <tableStyleElement type="secondRowStripe" dxfId="41"/>
      <tableStyleElement type="firstColumnStripe" dxfId="40"/>
      <tableStyleElement type="secondColumnStripe" dxfId="39"/>
    </tableStyle>
    <tableStyle name="E4tech Table Style_2" pivot="0" count="9" xr9:uid="{00000000-0011-0000-FFFF-FFFF01000000}">
      <tableStyleElement type="wholeTable" dxfId="38"/>
      <tableStyleElement type="headerRow" dxfId="37"/>
      <tableStyleElement type="totalRow" dxfId="36"/>
      <tableStyleElement type="firstColumn" dxfId="35"/>
      <tableStyleElement type="lastColumn" dxfId="34"/>
      <tableStyleElement type="firstRowStripe" dxfId="33"/>
      <tableStyleElement type="secondRowStripe" dxfId="32"/>
      <tableStyleElement type="firstColumnStripe" dxfId="31"/>
      <tableStyleElement type="secondColumnStripe" dxfId="30"/>
    </tableStyle>
    <tableStyle name="E4tech Table Style_3" pivot="0" count="7" xr9:uid="{00000000-0011-0000-FFFF-FFFF02000000}">
      <tableStyleElement type="wholeTable" dxfId="29"/>
      <tableStyleElement type="headerRow" dxfId="28"/>
      <tableStyleElement type="totalRow" dxfId="27"/>
      <tableStyleElement type="firstColumn" dxfId="26"/>
      <tableStyleElement type="lastColumn" dxfId="25"/>
      <tableStyleElement type="firstRowStripe" dxfId="24"/>
      <tableStyleElement type="firstColumnStripe" dxfId="23"/>
    </tableStyle>
    <tableStyle name="E4tech Table Style_4" pivot="0" count="7" xr9:uid="{00000000-0011-0000-FFFF-FFFF03000000}">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 name="E4tech Table Style_5" pivot="0" count="7" xr9:uid="{00000000-0011-0000-FFFF-FFFF04000000}">
      <tableStyleElement type="wholeTable" dxfId="15"/>
      <tableStyleElement type="headerRow" dxfId="14"/>
      <tableStyleElement type="totalRow" dxfId="13"/>
      <tableStyleElement type="firstColumn" dxfId="12"/>
      <tableStyleElement type="lastColumn" dxfId="11"/>
      <tableStyleElement type="firstRowStripe" dxfId="10"/>
      <tableStyleElement type="firstColumnStripe" dxfId="9"/>
    </tableStyle>
    <tableStyle name="E4tech Table Style_6" pivot="0" count="7" xr9:uid="{00000000-0011-0000-FFFF-FFFF05000000}">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s>
  <colors>
    <mruColors>
      <color rgb="FF5B9BD5"/>
      <color rgb="FFFF66CC"/>
      <color rgb="FFFFE6CD"/>
      <color rgb="FF000000"/>
      <color rgb="FF6AB0E0"/>
      <color rgb="FF1B429A"/>
      <color rgb="FFD3CAE0"/>
      <color rgb="FF957FB5"/>
      <color rgb="FF1383BD"/>
      <color rgb="FF8CB5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67235</xdr:colOff>
      <xdr:row>1</xdr:row>
      <xdr:rowOff>44823</xdr:rowOff>
    </xdr:from>
    <xdr:to>
      <xdr:col>5</xdr:col>
      <xdr:colOff>257735</xdr:colOff>
      <xdr:row>24</xdr:row>
      <xdr:rowOff>78440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95835" y="235323"/>
          <a:ext cx="5048250" cy="4100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xdr:col>
      <xdr:colOff>179295</xdr:colOff>
      <xdr:row>2</xdr:row>
      <xdr:rowOff>15234</xdr:rowOff>
    </xdr:from>
    <xdr:to>
      <xdr:col>2</xdr:col>
      <xdr:colOff>2403119</xdr:colOff>
      <xdr:row>6</xdr:row>
      <xdr:rowOff>149793</xdr:rowOff>
    </xdr:to>
    <xdr:pic>
      <xdr:nvPicPr>
        <xdr:cNvPr id="3" name="Picture 2">
          <a:extLst>
            <a:ext uri="{FF2B5EF4-FFF2-40B4-BE49-F238E27FC236}">
              <a16:creationId xmlns:a16="http://schemas.microsoft.com/office/drawing/2014/main" id="{D2197B64-4087-4E56-9968-6CF69499DE5E}"/>
            </a:ext>
          </a:extLst>
        </xdr:cNvPr>
        <xdr:cNvPicPr>
          <a:picLocks noChangeAspect="1"/>
        </xdr:cNvPicPr>
      </xdr:nvPicPr>
      <xdr:blipFill>
        <a:blip xmlns:r="http://schemas.openxmlformats.org/officeDocument/2006/relationships" r:embed="rId1"/>
        <a:stretch>
          <a:fillRect/>
        </a:stretch>
      </xdr:blipFill>
      <xdr:spPr>
        <a:xfrm>
          <a:off x="896471" y="396234"/>
          <a:ext cx="2156588" cy="89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16D56EEA-87C0-4648-A836-CAEC028B269B}"/>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FE250B03-4B59-4DA0-8EC7-22058725433E}"/>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CE280629-4D7E-4D71-BEC0-C1860DA515D5}"/>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230E0BF9-B119-4C8A-BA1F-D2CEEBDA6AFC}"/>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6" name="TextBox 17">
          <a:extLst>
            <a:ext uri="{FF2B5EF4-FFF2-40B4-BE49-F238E27FC236}">
              <a16:creationId xmlns:a16="http://schemas.microsoft.com/office/drawing/2014/main" id="{DC4D3C91-631E-41E4-8CD1-6784F1FEA3FD}"/>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D5FD1323-F1DF-48CA-B102-7A791A469854}"/>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C0273191-EADD-43E3-8E2A-F88683CD5B1F}"/>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A7AD939E-BA78-4E41-A414-E165C15BAAC5}"/>
            </a:ext>
          </a:extLst>
        </xdr:cNvPr>
        <xdr:cNvSpPr txBox="1"/>
      </xdr:nvSpPr>
      <xdr:spPr>
        <a:xfrm>
          <a:off x="357188" y="1785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4466AF71-85BC-47FA-9D60-B5A67B2A64F6}"/>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F59FCD3D-16E7-416A-A88D-698E39EA0C55}"/>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2653889</xdr:colOff>
      <xdr:row>1</xdr:row>
      <xdr:rowOff>790126</xdr:rowOff>
    </xdr:to>
    <xdr:sp macro="" textlink="">
      <xdr:nvSpPr>
        <xdr:cNvPr id="3" name="TextBox 17">
          <a:extLst>
            <a:ext uri="{FF2B5EF4-FFF2-40B4-BE49-F238E27FC236}">
              <a16:creationId xmlns:a16="http://schemas.microsoft.com/office/drawing/2014/main" id="{C9A09EE4-A337-4039-8A27-520A9D868921}"/>
            </a:ext>
          </a:extLst>
        </xdr:cNvPr>
        <xdr:cNvSpPr txBox="1"/>
      </xdr:nvSpPr>
      <xdr:spPr>
        <a:xfrm>
          <a:off x="358588" y="179294"/>
          <a:ext cx="4368389" cy="790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Values in </a:t>
          </a:r>
          <a:r>
            <a:rPr lang="en-GB" sz="1100" b="1">
              <a:solidFill>
                <a:srgbClr val="FF0000"/>
              </a:solidFill>
            </a:rPr>
            <a:t>red text </a:t>
          </a:r>
          <a:r>
            <a:rPr lang="en-GB" sz="1100" b="1"/>
            <a:t>are illustrative and should be deleted or adapted to the correct</a:t>
          </a:r>
          <a:r>
            <a:rPr lang="en-GB" sz="1100" b="1" baseline="0"/>
            <a:t> inputs/outputs for your </a:t>
          </a:r>
          <a:r>
            <a:rPr lang="en-GB" sz="1100" b="1"/>
            <a:t>pathway. This should not be considered an exhaustive list, and further inputs/outputs relevant to the pathway should be added.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BCK_UP/00de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reciation"/>
    </sheetNames>
    <sheetDataSet>
      <sheetData sheetId="0" refreshError="1"/>
    </sheetDataSet>
  </externalBook>
</externalLink>
</file>

<file path=xl/theme/theme1.xml><?xml version="1.0" encoding="utf-8"?>
<a:theme xmlns:a="http://schemas.openxmlformats.org/drawingml/2006/main" name="E4Tech_theme">
  <a:themeElements>
    <a:clrScheme name="E4tech colours">
      <a:dk1>
        <a:srgbClr val="000000"/>
      </a:dk1>
      <a:lt1>
        <a:srgbClr val="FFFFFF"/>
      </a:lt1>
      <a:dk2>
        <a:srgbClr val="000098"/>
      </a:dk2>
      <a:lt2>
        <a:srgbClr val="D8D9DB"/>
      </a:lt2>
      <a:accent1>
        <a:srgbClr val="1B429A"/>
      </a:accent1>
      <a:accent2>
        <a:srgbClr val="1383BD"/>
      </a:accent2>
      <a:accent3>
        <a:srgbClr val="6AB0E0"/>
      </a:accent3>
      <a:accent4>
        <a:srgbClr val="957FB5"/>
      </a:accent4>
      <a:accent5>
        <a:srgbClr val="4B8A60"/>
      </a:accent5>
      <a:accent6>
        <a:srgbClr val="8CB57E"/>
      </a:accent6>
      <a:hlink>
        <a:srgbClr val="001D4F"/>
      </a:hlink>
      <a:folHlink>
        <a:srgbClr val="D6DEE2"/>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FF@ricardo.com"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1042787/renewable-transport-fuel-obligation-compliance-guidance.pdf" TargetMode="External"/><Relationship Id="rId7" Type="http://schemas.openxmlformats.org/officeDocument/2006/relationships/comments" Target="../comments1.xml"/><Relationship Id="rId2" Type="http://schemas.openxmlformats.org/officeDocument/2006/relationships/hyperlink" Target="https://www.gov.uk/government/publications/atmospheric-implications-of-increased-hydrogen-use" TargetMode="External"/><Relationship Id="rId1" Type="http://schemas.openxmlformats.org/officeDocument/2006/relationships/hyperlink" Target="https://www.ipcc.ch/site/assets/uploads/2018/02/ar4-wg1-chapter2-1.pdf"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assets.publishing.service.gov.uk/government/uploads/system/uploads/attachment_data/file/1042787/renewable-transport-fuel-obligation-compliance-guidance.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ssets.publishing.service.gov.uk/government/uploads/system/uploads/attachment_data/file/947712/carbon-intensity-data-templates-2021.ods" TargetMode="External"/><Relationship Id="rId13" Type="http://schemas.openxmlformats.org/officeDocument/2006/relationships/hyperlink" Target="https://assets.publishing.service.gov.uk/government/uploads/system/uploads/attachment_data/file/1067394/low-carbon-hydrogen-standard-guidance-data-tables.pdf" TargetMode="External"/><Relationship Id="rId18" Type="http://schemas.openxmlformats.org/officeDocument/2006/relationships/printerSettings" Target="../printerSettings/printerSettings3.bin"/><Relationship Id="rId3" Type="http://schemas.openxmlformats.org/officeDocument/2006/relationships/hyperlink" Target="https://eur01.safelinks.protection.outlook.com/?url=https%3A%2F%2Fiea.blob.core.windows.net%2Fassets%2Fdeebef5d-0c34-4539-9d0c-10b13d840027%2FNetZeroby2050-ARoadmapfortheGlobalEnergySector_CORR.pdf&amp;data=05%7C01%7Cvon.chua%40e4tech.com%7C6c43196d55c247d8ecda08da220ab27e%7Cf2fe6bd39c4a485bae69e18820a88130%7C0%7C0%7C637859726588645422%7CUnknown%7CTWFpbGZsb3d8eyJWIjoiMC4wLjAwMDAiLCJQIjoiV2luMzIiLCJBTiI6Ik1haWwiLCJXVCI6Mn0%3D%7C3000%7C%7C%7C&amp;sdata=rpG8wo6ixFZnPOqx8GTUyk7%2BxgrmPnJFOmN9oPewMQs%3D&amp;reserved=0" TargetMode="External"/><Relationship Id="rId7" Type="http://schemas.openxmlformats.org/officeDocument/2006/relationships/hyperlink" Target="https://eur-lex.europa.eu/legal-content/EN/TXT/PDF/?uri=CELEX:32018L2001&amp;from=EN" TargetMode="External"/><Relationship Id="rId12" Type="http://schemas.openxmlformats.org/officeDocument/2006/relationships/hyperlink" Target="http://www.element-energy.co.uk/wordpress/wp-content/uploads/2021/08/Zemo-Low-Carbon-Hydrogen-WTT-Pathways-full-report.pdf" TargetMode="External"/><Relationship Id="rId17" Type="http://schemas.openxmlformats.org/officeDocument/2006/relationships/hyperlink" Target="https://www.gov.uk/government/publications/renewable-transport-fuel-obligation-rtfo-compliance-reporting-and-verification" TargetMode="External"/><Relationship Id="rId2" Type="http://schemas.openxmlformats.org/officeDocument/2006/relationships/hyperlink" Target="https://eur01.safelinks.protection.outlook.com/?url=https%3A%2F%2Fwww.gov.uk%2Fgovernment%2Fconsultations%2Fmandating-the-use-of-sustainable-aviation-fuels-in-the-uk&amp;data=05%7C01%7Cvon.chua%40e4tech.com%7C6c43196d55c247d8ecda08da220ab27e%7Cf2fe6bd39c4a485bae69e18820a88130%7C0%7C0%7C637859726588645422%7CUnknown%7CTWFpbGZsb3d8eyJWIjoiMC4wLjAwMDAiLCJQIjoiV2luMzIiLCJBTiI6Ik1haWwiLCJXVCI6Mn0%3D%7C3000%7C%7C%7C&amp;sdata=vCiuqnQraswMIkigCyDkIw1DyRuWEp1Bg4F9uCMDCSI%3D&amp;reserved=0" TargetMode="External"/><Relationship Id="rId16" Type="http://schemas.openxmlformats.org/officeDocument/2006/relationships/hyperlink" Target="https://assets.publishing.service.gov.uk/government/uploads/system/uploads/attachment_data/file/1067393/low-carbon-hydrogen-standard-guidance-annexes.pdf" TargetMode="External"/><Relationship Id="rId1" Type="http://schemas.openxmlformats.org/officeDocument/2006/relationships/hyperlink" Target="https://ec.europa.eu/info/sites/default/files/refueleu_aviation_-_sustainable_aviation_fuels.pdf" TargetMode="External"/><Relationship Id="rId6" Type="http://schemas.openxmlformats.org/officeDocument/2006/relationships/hyperlink" Target="https://ec.europa.eu/jrc/en/jec/renewable-energy-recast-2030-red-ii" TargetMode="External"/><Relationship Id="rId11" Type="http://schemas.openxmlformats.org/officeDocument/2006/relationships/hyperlink" Target="https://web.archive.org/web/20190605065129/http:/www.arb.ca.gov/fuels/lcfs/workgroups/lcfssustain/ISCC_EU_205_GHG_Calculation_and_GHG_Audit_2.3_eng.pdf" TargetMode="External"/><Relationship Id="rId5" Type="http://schemas.openxmlformats.org/officeDocument/2006/relationships/hyperlink" Target="https://ec.europa.eu/jrc/en/publication/eur-scientific-and-technical-research-reports/jec-well-tank-report-v5" TargetMode="External"/><Relationship Id="rId15" Type="http://schemas.openxmlformats.org/officeDocument/2006/relationships/hyperlink" Target="https://assets.publishing.service.gov.uk/government/uploads/system/uploads/attachment_data/file/1067392/low-carbon-hydrogen-standard-guidance.pdf" TargetMode="External"/><Relationship Id="rId10" Type="http://schemas.openxmlformats.org/officeDocument/2006/relationships/hyperlink" Target="https://ec.europa.eu/jrc/en/publication/eur-scientific-and-technical-research-reports/solid-and-gaseous-bioenergy-pathways-input-values-and-ghg-emissions-calculated-according-0" TargetMode="External"/><Relationship Id="rId4" Type="http://schemas.openxmlformats.org/officeDocument/2006/relationships/hyperlink" Target="https://www.gov.uk/government/publications/valuation-of-energy-use-and-greenhouse-gas-emissions-for-appraisal" TargetMode="External"/><Relationship Id="rId9" Type="http://schemas.openxmlformats.org/officeDocument/2006/relationships/hyperlink" Target="https://www.gov.uk/government/publications/biofuels-carbon-calculator-rtfo" TargetMode="External"/><Relationship Id="rId14" Type="http://schemas.openxmlformats.org/officeDocument/2006/relationships/hyperlink" Target="https://www.gov.uk/government/consultations/designing-a-uk-low-carbon-hydrogen-standar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2:T64"/>
  <sheetViews>
    <sheetView showGridLines="0" tabSelected="1" zoomScaleNormal="100" workbookViewId="0"/>
  </sheetViews>
  <sheetFormatPr defaultColWidth="7.21875" defaultRowHeight="14.4"/>
  <cols>
    <col min="1" max="1" width="6.6640625" style="1" customWidth="1"/>
    <col min="2" max="2" width="3.5546875" style="1" customWidth="1"/>
    <col min="3" max="3" width="40.88671875" style="1" customWidth="1"/>
    <col min="4" max="4" width="81.21875" style="1" customWidth="1"/>
    <col min="5" max="5" width="13.21875" style="1" customWidth="1"/>
    <col min="6" max="9" width="7.21875" style="1"/>
    <col min="10" max="16" width="7.21875" style="1" customWidth="1"/>
    <col min="17" max="17" width="7.21875" style="1"/>
    <col min="18" max="18" width="6" style="1" customWidth="1"/>
    <col min="19" max="19" width="7.21875" style="1"/>
    <col min="20" max="20" width="10.5546875" style="1" customWidth="1"/>
    <col min="21" max="23" width="7.21875" style="1"/>
    <col min="24" max="24" width="17.5546875" style="1" customWidth="1"/>
    <col min="25" max="25" width="18.44140625" style="1" customWidth="1"/>
    <col min="26" max="26" width="22.77734375" style="1" customWidth="1"/>
    <col min="27" max="16384" width="7.21875" style="1"/>
  </cols>
  <sheetData>
    <row r="2" spans="1:4">
      <c r="A2" s="1" t="s">
        <v>375</v>
      </c>
    </row>
    <row r="9" spans="1:4" ht="21">
      <c r="C9" s="188" t="s">
        <v>363</v>
      </c>
      <c r="D9" s="29"/>
    </row>
    <row r="10" spans="1:4" ht="15.6">
      <c r="C10" s="28"/>
      <c r="D10" s="30"/>
    </row>
    <row r="11" spans="1:4">
      <c r="C11" s="33" t="s">
        <v>0</v>
      </c>
      <c r="D11" s="189" t="s">
        <v>241</v>
      </c>
    </row>
    <row r="12" spans="1:4">
      <c r="C12" s="70" t="s">
        <v>1</v>
      </c>
      <c r="D12" s="69"/>
    </row>
    <row r="13" spans="1:4">
      <c r="C13" s="31"/>
      <c r="D13" s="32"/>
    </row>
    <row r="14" spans="1:4">
      <c r="C14" s="33" t="s">
        <v>364</v>
      </c>
      <c r="D14" s="192"/>
    </row>
    <row r="15" spans="1:4">
      <c r="C15" s="33" t="s">
        <v>365</v>
      </c>
      <c r="D15" s="192"/>
    </row>
    <row r="16" spans="1:4">
      <c r="C16" s="74" t="s">
        <v>246</v>
      </c>
      <c r="D16" s="192"/>
    </row>
    <row r="17" spans="3:4">
      <c r="C17" s="74" t="s">
        <v>240</v>
      </c>
      <c r="D17" s="192"/>
    </row>
    <row r="18" spans="3:4">
      <c r="C18" s="33" t="s">
        <v>366</v>
      </c>
      <c r="D18" s="192"/>
    </row>
    <row r="19" spans="3:4">
      <c r="C19" s="33" t="s">
        <v>367</v>
      </c>
      <c r="D19" s="192"/>
    </row>
    <row r="20" spans="3:4">
      <c r="C20" s="33" t="s">
        <v>208</v>
      </c>
      <c r="D20" s="192"/>
    </row>
    <row r="21" spans="3:4">
      <c r="C21" s="31"/>
      <c r="D21" s="193"/>
    </row>
    <row r="22" spans="3:4">
      <c r="C22" s="33" t="s">
        <v>2</v>
      </c>
      <c r="D22" s="192"/>
    </row>
    <row r="23" spans="3:4">
      <c r="C23" s="58" t="s">
        <v>3</v>
      </c>
      <c r="D23" s="192"/>
    </row>
    <row r="27" spans="3:4">
      <c r="C27" s="33" t="s">
        <v>4</v>
      </c>
    </row>
    <row r="28" spans="3:4">
      <c r="C28" s="36"/>
      <c r="D28" s="35" t="s">
        <v>5</v>
      </c>
    </row>
    <row r="29" spans="3:4">
      <c r="C29" s="50"/>
      <c r="D29" s="35" t="s">
        <v>6</v>
      </c>
    </row>
    <row r="30" spans="3:4">
      <c r="C30" s="100"/>
      <c r="D30" s="35" t="s">
        <v>259</v>
      </c>
    </row>
    <row r="31" spans="3:4">
      <c r="C31" s="35"/>
      <c r="D31" s="37" t="s">
        <v>7</v>
      </c>
    </row>
    <row r="32" spans="3:4">
      <c r="C32" s="153"/>
      <c r="D32" s="37" t="s">
        <v>7</v>
      </c>
    </row>
    <row r="34" spans="3:20">
      <c r="C34" s="33"/>
    </row>
    <row r="35" spans="3:20">
      <c r="C35" s="33" t="s">
        <v>254</v>
      </c>
    </row>
    <row r="36" spans="3:20">
      <c r="C36" s="175" t="s">
        <v>273</v>
      </c>
      <c r="D36" s="200" t="s">
        <v>368</v>
      </c>
      <c r="E36" s="201"/>
      <c r="F36" s="201"/>
      <c r="G36" s="201"/>
      <c r="H36" s="201"/>
      <c r="I36" s="201"/>
      <c r="J36" s="201"/>
      <c r="K36" s="201"/>
      <c r="L36" s="201"/>
      <c r="M36" s="201"/>
      <c r="N36" s="201"/>
      <c r="O36" s="201"/>
      <c r="P36" s="201"/>
      <c r="Q36" s="201"/>
      <c r="R36" s="201"/>
      <c r="S36" s="201"/>
      <c r="T36" s="202"/>
    </row>
    <row r="37" spans="3:20">
      <c r="C37" s="175" t="s">
        <v>8</v>
      </c>
      <c r="D37" s="200" t="s">
        <v>248</v>
      </c>
      <c r="E37" s="201"/>
      <c r="F37" s="201"/>
      <c r="G37" s="201"/>
      <c r="H37" s="201"/>
      <c r="I37" s="201"/>
      <c r="J37" s="201"/>
      <c r="K37" s="201"/>
      <c r="L37" s="201"/>
      <c r="M37" s="201"/>
      <c r="N37" s="201"/>
      <c r="O37" s="201"/>
      <c r="P37" s="201"/>
      <c r="Q37" s="201"/>
      <c r="R37" s="201"/>
      <c r="S37" s="201"/>
      <c r="T37" s="202"/>
    </row>
    <row r="38" spans="3:20">
      <c r="C38" s="175" t="s">
        <v>9</v>
      </c>
      <c r="D38" s="65" t="s">
        <v>258</v>
      </c>
      <c r="E38" s="66"/>
      <c r="F38" s="66"/>
      <c r="G38" s="66"/>
      <c r="H38" s="66"/>
      <c r="I38" s="66"/>
      <c r="J38" s="66"/>
      <c r="K38" s="66"/>
      <c r="L38" s="66"/>
      <c r="M38" s="66"/>
      <c r="N38" s="66"/>
      <c r="O38" s="66"/>
      <c r="P38" s="66"/>
      <c r="Q38" s="66"/>
      <c r="R38" s="66"/>
      <c r="S38" s="66"/>
      <c r="T38" s="67"/>
    </row>
    <row r="39" spans="3:20">
      <c r="C39" s="103" t="s">
        <v>11</v>
      </c>
      <c r="D39" s="51" t="s">
        <v>250</v>
      </c>
      <c r="E39" s="52"/>
      <c r="F39" s="52"/>
      <c r="G39" s="52"/>
      <c r="H39" s="52"/>
      <c r="I39" s="52"/>
      <c r="J39" s="52"/>
      <c r="K39" s="52"/>
      <c r="L39" s="52"/>
      <c r="M39" s="52"/>
      <c r="N39" s="52"/>
      <c r="O39" s="52"/>
      <c r="P39" s="52"/>
      <c r="Q39" s="52"/>
      <c r="R39" s="52"/>
      <c r="S39" s="52"/>
      <c r="T39" s="53"/>
    </row>
    <row r="40" spans="3:20">
      <c r="C40" s="174" t="s">
        <v>10</v>
      </c>
      <c r="D40" s="200" t="s">
        <v>249</v>
      </c>
      <c r="E40" s="201"/>
      <c r="F40" s="201"/>
      <c r="G40" s="201"/>
      <c r="H40" s="201"/>
      <c r="I40" s="201"/>
      <c r="J40" s="201"/>
      <c r="K40" s="201"/>
      <c r="L40" s="201"/>
      <c r="M40" s="201"/>
      <c r="N40" s="201"/>
      <c r="O40" s="201"/>
      <c r="P40" s="201"/>
      <c r="Q40" s="201"/>
      <c r="R40" s="201"/>
      <c r="S40" s="201"/>
      <c r="T40" s="202"/>
    </row>
    <row r="41" spans="3:20">
      <c r="C41" s="174" t="s">
        <v>251</v>
      </c>
      <c r="D41" s="51" t="s">
        <v>274</v>
      </c>
      <c r="E41" s="52"/>
      <c r="F41" s="52"/>
      <c r="G41" s="52"/>
      <c r="H41" s="52"/>
      <c r="I41" s="52"/>
      <c r="J41" s="52"/>
      <c r="K41" s="52"/>
      <c r="L41" s="52"/>
      <c r="M41" s="52"/>
      <c r="N41" s="52"/>
      <c r="O41" s="52"/>
      <c r="P41" s="52"/>
      <c r="Q41" s="52"/>
      <c r="R41" s="52"/>
      <c r="S41" s="52"/>
      <c r="T41" s="53"/>
    </row>
    <row r="42" spans="3:20">
      <c r="C42" s="174" t="s">
        <v>252</v>
      </c>
      <c r="D42" s="51" t="s">
        <v>253</v>
      </c>
      <c r="E42" s="52"/>
      <c r="F42" s="52"/>
      <c r="G42" s="52"/>
      <c r="H42" s="52"/>
      <c r="I42" s="52"/>
      <c r="J42" s="52"/>
      <c r="K42" s="52"/>
      <c r="L42" s="52"/>
      <c r="M42" s="52"/>
      <c r="N42" s="52"/>
      <c r="O42" s="52"/>
      <c r="P42" s="52"/>
      <c r="Q42" s="52"/>
      <c r="R42" s="52"/>
      <c r="S42" s="52"/>
      <c r="T42" s="53"/>
    </row>
    <row r="43" spans="3:20">
      <c r="C43" s="174" t="s">
        <v>12</v>
      </c>
      <c r="D43" s="203" t="s">
        <v>378</v>
      </c>
      <c r="E43" s="204"/>
      <c r="F43" s="204"/>
      <c r="G43" s="204"/>
      <c r="H43" s="204"/>
      <c r="I43" s="204"/>
      <c r="J43" s="204"/>
      <c r="K43" s="204"/>
      <c r="L43" s="204"/>
      <c r="M43" s="204"/>
      <c r="N43" s="204"/>
      <c r="O43" s="204"/>
      <c r="P43" s="204"/>
      <c r="Q43" s="204"/>
      <c r="R43" s="204"/>
      <c r="S43" s="204"/>
      <c r="T43" s="205"/>
    </row>
    <row r="44" spans="3:20">
      <c r="C44" s="174" t="s">
        <v>13</v>
      </c>
      <c r="D44" s="206"/>
      <c r="E44" s="207"/>
      <c r="F44" s="207"/>
      <c r="G44" s="207"/>
      <c r="H44" s="207"/>
      <c r="I44" s="207"/>
      <c r="J44" s="207"/>
      <c r="K44" s="207"/>
      <c r="L44" s="207"/>
      <c r="M44" s="207"/>
      <c r="N44" s="207"/>
      <c r="O44" s="207"/>
      <c r="P44" s="207"/>
      <c r="Q44" s="207"/>
      <c r="R44" s="207"/>
      <c r="S44" s="207"/>
      <c r="T44" s="208"/>
    </row>
    <row r="45" spans="3:20">
      <c r="C45" s="174" t="s">
        <v>14</v>
      </c>
      <c r="D45" s="206"/>
      <c r="E45" s="207"/>
      <c r="F45" s="207"/>
      <c r="G45" s="207"/>
      <c r="H45" s="207"/>
      <c r="I45" s="207"/>
      <c r="J45" s="207"/>
      <c r="K45" s="207"/>
      <c r="L45" s="207"/>
      <c r="M45" s="207"/>
      <c r="N45" s="207"/>
      <c r="O45" s="207"/>
      <c r="P45" s="207"/>
      <c r="Q45" s="207"/>
      <c r="R45" s="207"/>
      <c r="S45" s="207"/>
      <c r="T45" s="208"/>
    </row>
    <row r="46" spans="3:20">
      <c r="C46" s="174" t="s">
        <v>15</v>
      </c>
      <c r="D46" s="206"/>
      <c r="E46" s="207"/>
      <c r="F46" s="207"/>
      <c r="G46" s="207"/>
      <c r="H46" s="207"/>
      <c r="I46" s="207"/>
      <c r="J46" s="207"/>
      <c r="K46" s="207"/>
      <c r="L46" s="207"/>
      <c r="M46" s="207"/>
      <c r="N46" s="207"/>
      <c r="O46" s="207"/>
      <c r="P46" s="207"/>
      <c r="Q46" s="207"/>
      <c r="R46" s="207"/>
      <c r="S46" s="207"/>
      <c r="T46" s="208"/>
    </row>
    <row r="47" spans="3:20">
      <c r="C47" s="174" t="s">
        <v>16</v>
      </c>
      <c r="D47" s="206"/>
      <c r="E47" s="207"/>
      <c r="F47" s="207"/>
      <c r="G47" s="207"/>
      <c r="H47" s="207"/>
      <c r="I47" s="207"/>
      <c r="J47" s="207"/>
      <c r="K47" s="207"/>
      <c r="L47" s="207"/>
      <c r="M47" s="207"/>
      <c r="N47" s="207"/>
      <c r="O47" s="207"/>
      <c r="P47" s="207"/>
      <c r="Q47" s="207"/>
      <c r="R47" s="207"/>
      <c r="S47" s="207"/>
      <c r="T47" s="208"/>
    </row>
    <row r="48" spans="3:20">
      <c r="C48" s="174" t="s">
        <v>17</v>
      </c>
      <c r="D48" s="206"/>
      <c r="E48" s="207"/>
      <c r="F48" s="207"/>
      <c r="G48" s="207"/>
      <c r="H48" s="207"/>
      <c r="I48" s="207"/>
      <c r="J48" s="207"/>
      <c r="K48" s="207"/>
      <c r="L48" s="207"/>
      <c r="M48" s="207"/>
      <c r="N48" s="207"/>
      <c r="O48" s="207"/>
      <c r="P48" s="207"/>
      <c r="Q48" s="207"/>
      <c r="R48" s="207"/>
      <c r="S48" s="207"/>
      <c r="T48" s="208"/>
    </row>
    <row r="49" spans="3:20">
      <c r="C49" s="174" t="s">
        <v>18</v>
      </c>
      <c r="D49" s="206"/>
      <c r="E49" s="207"/>
      <c r="F49" s="207"/>
      <c r="G49" s="207"/>
      <c r="H49" s="207"/>
      <c r="I49" s="207"/>
      <c r="J49" s="207"/>
      <c r="K49" s="207"/>
      <c r="L49" s="207"/>
      <c r="M49" s="207"/>
      <c r="N49" s="207"/>
      <c r="O49" s="207"/>
      <c r="P49" s="207"/>
      <c r="Q49" s="207"/>
      <c r="R49" s="207"/>
      <c r="S49" s="207"/>
      <c r="T49" s="208"/>
    </row>
    <row r="50" spans="3:20">
      <c r="C50" s="174" t="s">
        <v>19</v>
      </c>
      <c r="D50" s="206"/>
      <c r="E50" s="207"/>
      <c r="F50" s="207"/>
      <c r="G50" s="207"/>
      <c r="H50" s="207"/>
      <c r="I50" s="207"/>
      <c r="J50" s="207"/>
      <c r="K50" s="207"/>
      <c r="L50" s="207"/>
      <c r="M50" s="207"/>
      <c r="N50" s="207"/>
      <c r="O50" s="207"/>
      <c r="P50" s="207"/>
      <c r="Q50" s="207"/>
      <c r="R50" s="207"/>
      <c r="S50" s="207"/>
      <c r="T50" s="208"/>
    </row>
    <row r="51" spans="3:20">
      <c r="C51" s="174" t="s">
        <v>20</v>
      </c>
      <c r="D51" s="206"/>
      <c r="E51" s="207"/>
      <c r="F51" s="207"/>
      <c r="G51" s="207"/>
      <c r="H51" s="207"/>
      <c r="I51" s="207"/>
      <c r="J51" s="207"/>
      <c r="K51" s="207"/>
      <c r="L51" s="207"/>
      <c r="M51" s="207"/>
      <c r="N51" s="207"/>
      <c r="O51" s="207"/>
      <c r="P51" s="207"/>
      <c r="Q51" s="207"/>
      <c r="R51" s="207"/>
      <c r="S51" s="207"/>
      <c r="T51" s="208"/>
    </row>
    <row r="52" spans="3:20">
      <c r="C52" s="174" t="s">
        <v>21</v>
      </c>
      <c r="D52" s="206"/>
      <c r="E52" s="207"/>
      <c r="F52" s="207"/>
      <c r="G52" s="207"/>
      <c r="H52" s="207"/>
      <c r="I52" s="207"/>
      <c r="J52" s="207"/>
      <c r="K52" s="207"/>
      <c r="L52" s="207"/>
      <c r="M52" s="207"/>
      <c r="N52" s="207"/>
      <c r="O52" s="207"/>
      <c r="P52" s="207"/>
      <c r="Q52" s="207"/>
      <c r="R52" s="207"/>
      <c r="S52" s="207"/>
      <c r="T52" s="208"/>
    </row>
    <row r="53" spans="3:20">
      <c r="C53" s="174" t="s">
        <v>232</v>
      </c>
      <c r="D53" s="209"/>
      <c r="E53" s="210"/>
      <c r="F53" s="210"/>
      <c r="G53" s="210"/>
      <c r="H53" s="210"/>
      <c r="I53" s="210"/>
      <c r="J53" s="210"/>
      <c r="K53" s="210"/>
      <c r="L53" s="210"/>
      <c r="M53" s="210"/>
      <c r="N53" s="210"/>
      <c r="O53" s="210"/>
      <c r="P53" s="210"/>
      <c r="Q53" s="210"/>
      <c r="R53" s="210"/>
      <c r="S53" s="210"/>
      <c r="T53" s="211"/>
    </row>
    <row r="56" spans="3:20">
      <c r="C56" s="33" t="s">
        <v>270</v>
      </c>
    </row>
    <row r="57" spans="3:20" s="171" customFormat="1" ht="14.4" customHeight="1">
      <c r="C57" s="212" t="s">
        <v>360</v>
      </c>
      <c r="D57" s="213"/>
      <c r="E57" s="213"/>
      <c r="F57" s="213"/>
      <c r="G57" s="213"/>
      <c r="H57" s="213"/>
      <c r="I57" s="213"/>
      <c r="J57" s="213"/>
      <c r="K57" s="213"/>
      <c r="L57" s="213"/>
      <c r="M57" s="213"/>
      <c r="N57" s="213"/>
      <c r="O57" s="213"/>
      <c r="P57" s="213"/>
      <c r="Q57" s="213"/>
      <c r="R57" s="213"/>
      <c r="S57" s="213"/>
      <c r="T57" s="214"/>
    </row>
    <row r="58" spans="3:20" s="171" customFormat="1" ht="14.4" customHeight="1">
      <c r="C58" s="194" t="s">
        <v>271</v>
      </c>
      <c r="D58" s="195"/>
      <c r="E58" s="195"/>
      <c r="F58" s="195"/>
      <c r="G58" s="195"/>
      <c r="H58" s="195"/>
      <c r="I58" s="195"/>
      <c r="J58" s="195"/>
      <c r="K58" s="195"/>
      <c r="L58" s="195"/>
      <c r="M58" s="195"/>
      <c r="N58" s="195"/>
      <c r="O58" s="195"/>
      <c r="P58" s="195"/>
      <c r="Q58" s="195"/>
      <c r="R58" s="195"/>
      <c r="S58" s="195"/>
      <c r="T58" s="196"/>
    </row>
    <row r="59" spans="3:20" s="171" customFormat="1" ht="14.4" customHeight="1">
      <c r="C59" s="194" t="s">
        <v>272</v>
      </c>
      <c r="D59" s="195"/>
      <c r="E59" s="195"/>
      <c r="F59" s="195"/>
      <c r="G59" s="195"/>
      <c r="H59" s="195"/>
      <c r="I59" s="195"/>
      <c r="J59" s="195"/>
      <c r="K59" s="195"/>
      <c r="L59" s="195"/>
      <c r="M59" s="195"/>
      <c r="N59" s="195"/>
      <c r="O59" s="195"/>
      <c r="P59" s="195"/>
      <c r="Q59" s="195"/>
      <c r="R59" s="195"/>
      <c r="S59" s="195"/>
      <c r="T59" s="196"/>
    </row>
    <row r="60" spans="3:20" s="171" customFormat="1" ht="29.4" customHeight="1">
      <c r="C60" s="197" t="s">
        <v>361</v>
      </c>
      <c r="D60" s="198"/>
      <c r="E60" s="198"/>
      <c r="F60" s="198"/>
      <c r="G60" s="198"/>
      <c r="H60" s="198"/>
      <c r="I60" s="198"/>
      <c r="J60" s="198"/>
      <c r="K60" s="198"/>
      <c r="L60" s="198"/>
      <c r="M60" s="198"/>
      <c r="N60" s="198"/>
      <c r="O60" s="198"/>
      <c r="P60" s="198"/>
      <c r="Q60" s="198"/>
      <c r="R60" s="198"/>
      <c r="S60" s="198"/>
      <c r="T60" s="199"/>
    </row>
    <row r="63" spans="3:20">
      <c r="C63" s="71" t="s">
        <v>194</v>
      </c>
    </row>
    <row r="64" spans="3:20">
      <c r="C64" s="172" t="s">
        <v>376</v>
      </c>
      <c r="D64" s="173" t="s">
        <v>377</v>
      </c>
    </row>
  </sheetData>
  <mergeCells count="8">
    <mergeCell ref="C59:T59"/>
    <mergeCell ref="C60:T60"/>
    <mergeCell ref="C58:T58"/>
    <mergeCell ref="D36:T36"/>
    <mergeCell ref="D40:T40"/>
    <mergeCell ref="D43:T53"/>
    <mergeCell ref="D37:T37"/>
    <mergeCell ref="C57:T57"/>
  </mergeCells>
  <dataValidations count="2">
    <dataValidation type="list" allowBlank="1" showInputMessage="1" showErrorMessage="1" sqref="D20" xr:uid="{00000000-0002-0000-0000-000000000000}">
      <formula1>"Biofuel, RFNBO, Nuclear, RCF"</formula1>
    </dataValidation>
    <dataValidation type="list" allowBlank="1" showInputMessage="1" showErrorMessage="1" sqref="D16" xr:uid="{00000000-0002-0000-0000-000001000000}">
      <formula1>"Demonstration project, FOAK commercial project"</formula1>
    </dataValidation>
  </dataValidations>
  <hyperlinks>
    <hyperlink ref="D11" r:id="rId1" xr:uid="{BB5EE59C-0C26-48AC-A95C-D13B449330EF}"/>
    <hyperlink ref="C38" location="Assumptions!A1" display="Assumptions" xr:uid="{521F1C35-DA4B-4F30-8027-817030A9E065}"/>
    <hyperlink ref="C37" location="Units!A1" display="Units" xr:uid="{71E2F4E7-3023-481B-B15E-737AD2F0ED9E}"/>
    <hyperlink ref="C40" location="'System Boundary'!A1" display="System boundary" xr:uid="{5628AEF2-5B50-43CC-B817-013BE4EC1F10}"/>
    <hyperlink ref="C39" location="Summary!A1" display="Summary" xr:uid="{E9330285-6A97-4AE2-8343-E3ABE91DA913}"/>
    <hyperlink ref="C41" location="'Additional evidence'!A1" display="Additional evidence" xr:uid="{E77FB7D1-4345-4864-BD1D-50D9BC6441B3}"/>
    <hyperlink ref="C42" location="'RCF counterfactual'!A1" display="RCF counterfactual" xr:uid="{5227B914-BCC8-41F0-B2B8-55244A7DC6CF}"/>
    <hyperlink ref="C36" location="Guidance!A1" display="Guidance" xr:uid="{FB930C57-C5BE-4A19-8E28-26228E8C93B7}"/>
  </hyperlinks>
  <pageMargins left="0.70000000000000007" right="0.70000000000000007" top="0.75" bottom="0.75" header="0.30000000000000004" footer="0.30000000000000004"/>
  <pageSetup paperSize="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2:V40"/>
  <sheetViews>
    <sheetView showGridLines="0" zoomScaleNormal="100" workbookViewId="0"/>
  </sheetViews>
  <sheetFormatPr defaultColWidth="7.21875" defaultRowHeight="14.4"/>
  <cols>
    <col min="1" max="1" width="5.21875" style="4" customWidth="1"/>
    <col min="2" max="2" width="25" style="4" bestFit="1" customWidth="1"/>
    <col min="3" max="3" width="39" style="4" bestFit="1" customWidth="1"/>
    <col min="4" max="4" width="13.44140625" style="4" customWidth="1"/>
    <col min="5" max="5" width="15.33203125" style="6" customWidth="1"/>
    <col min="6" max="6" width="20.88671875" style="4" customWidth="1"/>
    <col min="7" max="7" width="17" style="4" customWidth="1"/>
    <col min="8" max="8" width="12.77734375" style="5" customWidth="1"/>
    <col min="9" max="9" width="17.44140625" style="5" customWidth="1"/>
    <col min="10" max="11" width="14.21875" style="5" customWidth="1"/>
    <col min="12" max="12" width="14" style="5" customWidth="1"/>
    <col min="13" max="13" width="7.21875" style="1"/>
    <col min="14" max="14" width="18.77734375" style="4" customWidth="1"/>
    <col min="15" max="15" width="17.5546875" style="4" customWidth="1"/>
    <col min="16" max="17" width="20.77734375" style="5" customWidth="1"/>
    <col min="18" max="18" width="16.21875" style="5" customWidth="1"/>
    <col min="19" max="19" width="20.21875" style="48" customWidth="1"/>
    <col min="20" max="20" width="7.21875" style="4" customWidth="1"/>
    <col min="21" max="21" width="21.33203125" style="4" customWidth="1"/>
    <col min="22" max="22" width="7.21875" style="1"/>
    <col min="23" max="16384" width="7.21875" style="4"/>
  </cols>
  <sheetData>
    <row r="2" spans="2:22" ht="87" thickBot="1">
      <c r="B2" s="3" t="s">
        <v>170</v>
      </c>
      <c r="C2" s="3" t="s">
        <v>171</v>
      </c>
      <c r="D2" s="3" t="s">
        <v>8</v>
      </c>
      <c r="E2" s="8" t="s">
        <v>172</v>
      </c>
      <c r="F2" s="38" t="s">
        <v>297</v>
      </c>
      <c r="G2" s="38" t="s">
        <v>298</v>
      </c>
      <c r="H2" s="38" t="s">
        <v>173</v>
      </c>
      <c r="I2" s="38" t="s">
        <v>299</v>
      </c>
      <c r="J2" s="38" t="s">
        <v>300</v>
      </c>
      <c r="K2" s="38" t="s">
        <v>301</v>
      </c>
      <c r="L2" s="38" t="s">
        <v>302</v>
      </c>
      <c r="M2" s="38"/>
      <c r="N2" s="39" t="s">
        <v>311</v>
      </c>
      <c r="O2" s="39" t="s">
        <v>312</v>
      </c>
      <c r="P2" s="38" t="s">
        <v>313</v>
      </c>
      <c r="Q2" s="38" t="s">
        <v>314</v>
      </c>
      <c r="R2" s="38" t="s">
        <v>174</v>
      </c>
      <c r="S2" s="47" t="s">
        <v>315</v>
      </c>
      <c r="T2" s="47"/>
      <c r="U2" s="38" t="s">
        <v>175</v>
      </c>
    </row>
    <row r="3" spans="2:22" ht="15" thickTop="1"/>
    <row r="4" spans="2:22">
      <c r="B4" s="181" t="s">
        <v>176</v>
      </c>
      <c r="C4" s="177"/>
      <c r="D4" s="177"/>
      <c r="E4" s="178"/>
      <c r="F4" s="177"/>
      <c r="G4" s="179"/>
      <c r="H4" s="180"/>
      <c r="I4" s="180"/>
      <c r="J4" s="180"/>
      <c r="K4" s="180"/>
      <c r="L4" s="180"/>
      <c r="N4" s="11"/>
      <c r="P4" s="14"/>
      <c r="Q4" s="14"/>
      <c r="R4" s="14"/>
      <c r="S4" s="49"/>
      <c r="U4" s="11"/>
      <c r="V4" s="4"/>
    </row>
    <row r="5" spans="2:22" s="11" customFormat="1">
      <c r="B5" s="10" t="s">
        <v>177</v>
      </c>
      <c r="C5" s="183" t="s">
        <v>303</v>
      </c>
      <c r="D5" s="9" t="s">
        <v>309</v>
      </c>
      <c r="E5" s="43"/>
      <c r="F5" s="17"/>
      <c r="G5" s="17"/>
      <c r="H5" s="16"/>
      <c r="I5" s="16" t="s">
        <v>185</v>
      </c>
      <c r="J5" s="42"/>
      <c r="K5" s="16"/>
      <c r="L5" s="54">
        <f>IF($D5="MWh/yr (LHV)",$E5,$J5*$E5/3.6)</f>
        <v>0</v>
      </c>
      <c r="P5" s="42" t="str">
        <f>IF(B5="", "", IF(D5="MWh/yr (LHV)", "Use column to right", "Enter data here"))</f>
        <v>Enter data here</v>
      </c>
      <c r="Q5" s="42" t="str">
        <f>IF(B5="", "", IF(D5="MWh/yr (LHV)", "Enter data here", "Use column to left"))</f>
        <v>Use column to left</v>
      </c>
      <c r="R5" s="23" t="s">
        <v>362</v>
      </c>
      <c r="S5" s="184" t="str">
        <f>IFERROR(IF(D5="tonnes/yr", $P5*$E5/($L$17*3.6), $Q5*$E5*3.6/($L$17*3.6)), "Unfilled fields on left")</f>
        <v>Unfilled fields on left</v>
      </c>
      <c r="U5" s="23"/>
    </row>
    <row r="6" spans="2:22" s="11" customFormat="1">
      <c r="B6" s="182" t="s">
        <v>179</v>
      </c>
      <c r="C6" s="183" t="s">
        <v>180</v>
      </c>
      <c r="D6" s="9" t="s">
        <v>310</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362</v>
      </c>
      <c r="S6" s="184" t="str">
        <f t="shared" ref="S6:S14" si="3">IFERROR(IF(D6="tonnes/yr", $P6*$E6/($L$17*3.6), $Q6*$E6*3.6/($L$17*3.6)), "Unfilled fields on left")</f>
        <v>Unfilled fields on left</v>
      </c>
      <c r="U6" s="17"/>
    </row>
    <row r="7" spans="2:22">
      <c r="B7" s="182" t="s">
        <v>179</v>
      </c>
      <c r="C7" s="183" t="s">
        <v>187</v>
      </c>
      <c r="D7" s="9" t="s">
        <v>310</v>
      </c>
      <c r="E7" s="18"/>
      <c r="F7" s="17"/>
      <c r="G7" s="17"/>
      <c r="H7" s="16"/>
      <c r="I7" s="16"/>
      <c r="J7" s="16"/>
      <c r="K7" s="16"/>
      <c r="L7" s="54">
        <f t="shared" si="0"/>
        <v>0</v>
      </c>
      <c r="M7" s="11"/>
      <c r="N7" s="11"/>
      <c r="O7" s="11"/>
      <c r="P7" s="42" t="str">
        <f t="shared" si="1"/>
        <v>Use column to right</v>
      </c>
      <c r="Q7" s="42" t="str">
        <f t="shared" si="2"/>
        <v>Enter data here</v>
      </c>
      <c r="R7" s="23" t="s">
        <v>362</v>
      </c>
      <c r="S7" s="184" t="str">
        <f t="shared" si="3"/>
        <v>Unfilled fields on left</v>
      </c>
      <c r="U7" s="17"/>
      <c r="V7" s="4"/>
    </row>
    <row r="8" spans="2:22" s="7" customFormat="1">
      <c r="B8" s="182" t="s">
        <v>179</v>
      </c>
      <c r="C8" s="183" t="s">
        <v>182</v>
      </c>
      <c r="D8" s="9" t="s">
        <v>309</v>
      </c>
      <c r="E8" s="19"/>
      <c r="F8" s="17"/>
      <c r="G8" s="17"/>
      <c r="H8" s="16"/>
      <c r="I8" s="16"/>
      <c r="J8" s="16"/>
      <c r="K8" s="16"/>
      <c r="L8" s="54">
        <f t="shared" si="0"/>
        <v>0</v>
      </c>
      <c r="M8" s="11"/>
      <c r="N8" s="11"/>
      <c r="O8" s="11"/>
      <c r="P8" s="42" t="str">
        <f t="shared" si="1"/>
        <v>Enter data here</v>
      </c>
      <c r="Q8" s="42" t="str">
        <f t="shared" si="2"/>
        <v>Use column to left</v>
      </c>
      <c r="R8" s="23" t="s">
        <v>362</v>
      </c>
      <c r="S8" s="184" t="str">
        <f t="shared" si="3"/>
        <v>Unfilled fields on left</v>
      </c>
      <c r="U8" s="24"/>
    </row>
    <row r="9" spans="2:22" s="7" customFormat="1">
      <c r="B9" s="182" t="s">
        <v>179</v>
      </c>
      <c r="C9" s="183" t="s">
        <v>304</v>
      </c>
      <c r="D9" s="9" t="s">
        <v>309</v>
      </c>
      <c r="E9" s="19"/>
      <c r="F9" s="17"/>
      <c r="G9" s="17"/>
      <c r="H9" s="16"/>
      <c r="I9" s="16"/>
      <c r="J9" s="16"/>
      <c r="K9" s="16"/>
      <c r="L9" s="54">
        <f t="shared" si="0"/>
        <v>0</v>
      </c>
      <c r="M9" s="11"/>
      <c r="N9" s="11"/>
      <c r="O9" s="11"/>
      <c r="P9" s="42" t="str">
        <f t="shared" si="1"/>
        <v>Enter data here</v>
      </c>
      <c r="Q9" s="42" t="str">
        <f t="shared" si="2"/>
        <v>Use column to left</v>
      </c>
      <c r="R9" s="23" t="s">
        <v>362</v>
      </c>
      <c r="S9" s="184" t="str">
        <f t="shared" si="3"/>
        <v>Unfilled fields on left</v>
      </c>
      <c r="U9" s="24"/>
    </row>
    <row r="10" spans="2:22">
      <c r="B10" s="182" t="s">
        <v>191</v>
      </c>
      <c r="C10" s="183" t="s">
        <v>192</v>
      </c>
      <c r="D10" s="9" t="s">
        <v>309</v>
      </c>
      <c r="E10" s="19"/>
      <c r="F10" s="17"/>
      <c r="G10" s="17"/>
      <c r="H10" s="16"/>
      <c r="I10" s="16"/>
      <c r="J10" s="16"/>
      <c r="K10" s="16"/>
      <c r="L10" s="54">
        <f t="shared" si="0"/>
        <v>0</v>
      </c>
      <c r="M10" s="11"/>
      <c r="N10" s="11"/>
      <c r="O10" s="11"/>
      <c r="P10" s="42" t="str">
        <f t="shared" si="1"/>
        <v>Enter data here</v>
      </c>
      <c r="Q10" s="42" t="str">
        <f t="shared" si="2"/>
        <v>Use column to left</v>
      </c>
      <c r="R10" s="23" t="s">
        <v>362</v>
      </c>
      <c r="S10" s="184" t="str">
        <f t="shared" si="3"/>
        <v>Unfilled fields on left</v>
      </c>
      <c r="U10" s="24"/>
      <c r="V10" s="4"/>
    </row>
    <row r="11" spans="2:22">
      <c r="B11" s="182" t="s">
        <v>191</v>
      </c>
      <c r="C11" s="183" t="s">
        <v>305</v>
      </c>
      <c r="D11" s="9" t="s">
        <v>309</v>
      </c>
      <c r="E11" s="19"/>
      <c r="F11" s="17"/>
      <c r="G11" s="17"/>
      <c r="H11" s="16"/>
      <c r="I11" s="16"/>
      <c r="J11" s="16"/>
      <c r="K11" s="16"/>
      <c r="L11" s="54">
        <f t="shared" si="0"/>
        <v>0</v>
      </c>
      <c r="M11" s="11"/>
      <c r="N11" s="11"/>
      <c r="O11" s="11"/>
      <c r="P11" s="42" t="str">
        <f t="shared" si="1"/>
        <v>Enter data here</v>
      </c>
      <c r="Q11" s="42" t="str">
        <f t="shared" si="2"/>
        <v>Use column to left</v>
      </c>
      <c r="R11" s="23" t="s">
        <v>362</v>
      </c>
      <c r="S11" s="184" t="str">
        <f t="shared" si="3"/>
        <v>Unfilled fields on left</v>
      </c>
      <c r="U11" s="24"/>
      <c r="V11" s="4"/>
    </row>
    <row r="12" spans="2:22">
      <c r="B12" s="182" t="s">
        <v>308</v>
      </c>
      <c r="C12" s="183" t="s">
        <v>306</v>
      </c>
      <c r="D12" s="9" t="s">
        <v>309</v>
      </c>
      <c r="E12" s="19"/>
      <c r="F12" s="17"/>
      <c r="G12" s="17"/>
      <c r="H12" s="16"/>
      <c r="I12" s="16"/>
      <c r="J12" s="16"/>
      <c r="K12" s="16"/>
      <c r="L12" s="54">
        <f t="shared" si="0"/>
        <v>0</v>
      </c>
      <c r="M12" s="11"/>
      <c r="N12" s="11"/>
      <c r="O12" s="11"/>
      <c r="P12" s="42" t="str">
        <f t="shared" si="1"/>
        <v>Enter data here</v>
      </c>
      <c r="Q12" s="42" t="str">
        <f t="shared" si="2"/>
        <v>Use column to left</v>
      </c>
      <c r="R12" s="23" t="s">
        <v>362</v>
      </c>
      <c r="S12" s="184" t="str">
        <f t="shared" si="3"/>
        <v>Unfilled fields on left</v>
      </c>
      <c r="U12" s="24"/>
      <c r="V12" s="4"/>
    </row>
    <row r="13" spans="2:22">
      <c r="B13" s="182" t="s">
        <v>308</v>
      </c>
      <c r="C13" s="183" t="s">
        <v>307</v>
      </c>
      <c r="D13" s="9" t="s">
        <v>309</v>
      </c>
      <c r="E13" s="19"/>
      <c r="F13" s="17"/>
      <c r="G13" s="17"/>
      <c r="H13" s="16"/>
      <c r="I13" s="16"/>
      <c r="J13" s="16"/>
      <c r="K13" s="16"/>
      <c r="L13" s="54">
        <f t="shared" si="0"/>
        <v>0</v>
      </c>
      <c r="M13" s="11"/>
      <c r="N13" s="11"/>
      <c r="O13" s="11"/>
      <c r="P13" s="42" t="str">
        <f t="shared" si="1"/>
        <v>Enter data here</v>
      </c>
      <c r="Q13" s="42" t="str">
        <f t="shared" si="2"/>
        <v>Use column to left</v>
      </c>
      <c r="R13" s="23" t="s">
        <v>362</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362</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183</v>
      </c>
      <c r="C16" s="177"/>
      <c r="D16" s="177"/>
      <c r="E16" s="178"/>
      <c r="F16" s="177"/>
      <c r="G16" s="179"/>
      <c r="H16" s="180"/>
      <c r="I16" s="180"/>
      <c r="J16" s="180"/>
      <c r="K16" s="180"/>
      <c r="L16" s="180"/>
      <c r="M16" s="41"/>
      <c r="N16" s="15"/>
      <c r="O16" s="11"/>
      <c r="P16" s="22"/>
      <c r="Q16" s="22"/>
      <c r="R16" s="22"/>
      <c r="S16" s="186"/>
      <c r="U16" s="27"/>
      <c r="V16" s="4"/>
    </row>
    <row r="17" spans="2:22" s="11" customFormat="1">
      <c r="B17" s="10" t="s">
        <v>184</v>
      </c>
      <c r="C17" s="183" t="s">
        <v>341</v>
      </c>
      <c r="D17" s="9" t="s">
        <v>309</v>
      </c>
      <c r="E17" s="44"/>
      <c r="F17" s="17"/>
      <c r="G17" s="17"/>
      <c r="H17" s="17"/>
      <c r="I17" s="17" t="s">
        <v>185</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188</v>
      </c>
      <c r="C18" s="183" t="s">
        <v>334</v>
      </c>
      <c r="D18" s="9" t="s">
        <v>310</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188</v>
      </c>
      <c r="C19" s="183" t="s">
        <v>348</v>
      </c>
      <c r="D19" s="9" t="s">
        <v>310</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186</v>
      </c>
      <c r="C20" s="183" t="s">
        <v>319</v>
      </c>
      <c r="D20" s="9" t="s">
        <v>309</v>
      </c>
      <c r="E20" s="19"/>
      <c r="F20" s="17"/>
      <c r="G20" s="17"/>
      <c r="H20" s="16"/>
      <c r="I20" s="16"/>
      <c r="J20" s="16"/>
      <c r="K20" s="16"/>
      <c r="L20" s="54">
        <f t="shared" si="4"/>
        <v>0</v>
      </c>
      <c r="M20" s="11"/>
      <c r="N20" s="11"/>
      <c r="O20" s="11"/>
      <c r="P20" s="22"/>
      <c r="Q20" s="22"/>
      <c r="R20" s="22"/>
      <c r="S20" s="22"/>
      <c r="U20" s="17"/>
    </row>
    <row r="21" spans="2:22" s="7" customFormat="1">
      <c r="B21" s="182" t="s">
        <v>186</v>
      </c>
      <c r="C21" s="183" t="s">
        <v>355</v>
      </c>
      <c r="D21" s="9" t="s">
        <v>309</v>
      </c>
      <c r="E21" s="19"/>
      <c r="F21" s="17"/>
      <c r="G21" s="17"/>
      <c r="H21" s="16"/>
      <c r="I21" s="16"/>
      <c r="J21" s="16"/>
      <c r="K21" s="16"/>
      <c r="L21" s="54">
        <f t="shared" si="4"/>
        <v>0</v>
      </c>
      <c r="M21" s="11"/>
      <c r="N21" s="11"/>
      <c r="O21" s="11"/>
      <c r="P21" s="22"/>
      <c r="Q21" s="22"/>
      <c r="R21" s="22"/>
      <c r="S21" s="22"/>
      <c r="U21" s="17"/>
    </row>
    <row r="22" spans="2:22" s="7" customFormat="1">
      <c r="B22" s="182" t="s">
        <v>186</v>
      </c>
      <c r="C22" s="183" t="s">
        <v>332</v>
      </c>
      <c r="D22" s="9" t="s">
        <v>309</v>
      </c>
      <c r="E22" s="44"/>
      <c r="F22" s="17"/>
      <c r="G22" s="17"/>
      <c r="H22" s="16"/>
      <c r="I22" s="45"/>
      <c r="J22" s="42"/>
      <c r="K22" s="16"/>
      <c r="L22" s="54">
        <f t="shared" si="4"/>
        <v>0</v>
      </c>
      <c r="M22" s="11"/>
      <c r="N22" s="11"/>
      <c r="O22" s="11"/>
      <c r="P22" s="22"/>
      <c r="Q22" s="22"/>
      <c r="R22" s="22"/>
      <c r="S22" s="22"/>
      <c r="U22" s="17"/>
    </row>
    <row r="23" spans="2:22" s="7" customFormat="1">
      <c r="B23" s="182" t="s">
        <v>189</v>
      </c>
      <c r="C23" s="183" t="s">
        <v>320</v>
      </c>
      <c r="D23" s="9" t="s">
        <v>309</v>
      </c>
      <c r="E23" s="19"/>
      <c r="F23" s="17"/>
      <c r="G23" s="17"/>
      <c r="H23" s="16"/>
      <c r="I23" s="16"/>
      <c r="J23" s="16"/>
      <c r="K23" s="16"/>
      <c r="L23" s="54">
        <f t="shared" si="4"/>
        <v>0</v>
      </c>
      <c r="M23" s="11"/>
      <c r="N23" s="11"/>
      <c r="O23" s="11"/>
      <c r="P23" s="22"/>
      <c r="Q23" s="22"/>
      <c r="R23" s="22"/>
      <c r="S23" s="22"/>
      <c r="U23" s="17"/>
    </row>
    <row r="24" spans="2:22" s="7" customFormat="1">
      <c r="B24" s="182" t="s">
        <v>189</v>
      </c>
      <c r="C24" s="183" t="s">
        <v>190</v>
      </c>
      <c r="D24" s="9" t="s">
        <v>309</v>
      </c>
      <c r="E24" s="19"/>
      <c r="F24" s="17"/>
      <c r="G24" s="17"/>
      <c r="H24" s="16"/>
      <c r="I24" s="16"/>
      <c r="J24" s="16"/>
      <c r="K24" s="16"/>
      <c r="L24" s="54">
        <f t="shared" si="4"/>
        <v>0</v>
      </c>
      <c r="M24" s="11"/>
      <c r="N24" s="11"/>
      <c r="O24" s="11"/>
      <c r="P24" s="11"/>
      <c r="Q24" s="11"/>
      <c r="R24" s="11"/>
      <c r="S24" s="11"/>
      <c r="U24" s="17"/>
    </row>
    <row r="25" spans="2:22" s="7" customFormat="1">
      <c r="B25" s="182" t="s">
        <v>321</v>
      </c>
      <c r="C25" s="183" t="s">
        <v>358</v>
      </c>
      <c r="D25" s="9" t="s">
        <v>309</v>
      </c>
      <c r="E25" s="19"/>
      <c r="F25" s="17"/>
      <c r="G25" s="17"/>
      <c r="H25" s="16"/>
      <c r="I25" s="16"/>
      <c r="J25" s="16"/>
      <c r="K25" s="16"/>
      <c r="L25" s="54">
        <f t="shared" si="4"/>
        <v>0</v>
      </c>
      <c r="M25" s="11"/>
      <c r="N25" s="11"/>
      <c r="O25" s="11"/>
      <c r="P25" s="23">
        <v>0</v>
      </c>
      <c r="Q25" s="22"/>
      <c r="R25" s="23" t="s">
        <v>346</v>
      </c>
      <c r="S25" s="184" t="str">
        <f>IFERROR(IF(D25="tonnes/yr", $P25*$E25/($L$17*3.6), $Q25*$E25*3.6/($L$17*3.6)), "Unfilled fields on left")</f>
        <v>Unfilled fields on left</v>
      </c>
      <c r="U25" s="17"/>
    </row>
    <row r="26" spans="2:22" s="7" customFormat="1">
      <c r="B26" s="182" t="s">
        <v>321</v>
      </c>
      <c r="C26" s="183" t="s">
        <v>357</v>
      </c>
      <c r="D26" s="9" t="s">
        <v>309</v>
      </c>
      <c r="E26" s="19"/>
      <c r="F26" s="17"/>
      <c r="G26" s="17"/>
      <c r="H26" s="16"/>
      <c r="I26" s="16"/>
      <c r="J26" s="16"/>
      <c r="K26" s="16"/>
      <c r="L26" s="54">
        <f t="shared" si="4"/>
        <v>0</v>
      </c>
      <c r="M26" s="11"/>
      <c r="N26" s="11"/>
      <c r="O26" s="11"/>
      <c r="P26" s="23">
        <v>1000</v>
      </c>
      <c r="Q26" s="22"/>
      <c r="R26" s="23" t="s">
        <v>345</v>
      </c>
      <c r="S26" s="184" t="str">
        <f>IFERROR(IF(D26="tonnes/yr", $P26*$E26/($L$17*3.6), $Q26*$E26*3.6/($L$17*3.6)), "Unfilled fields on left")</f>
        <v>Unfilled fields on left</v>
      </c>
      <c r="U26" s="17"/>
    </row>
    <row r="27" spans="2:22" s="7" customFormat="1">
      <c r="B27" s="182" t="s">
        <v>333</v>
      </c>
      <c r="C27" s="183" t="s">
        <v>342</v>
      </c>
      <c r="D27" s="9" t="s">
        <v>309</v>
      </c>
      <c r="E27" s="19"/>
      <c r="F27" s="17"/>
      <c r="G27" s="17"/>
      <c r="H27" s="16"/>
      <c r="I27" s="16"/>
      <c r="J27" s="16"/>
      <c r="K27" s="16"/>
      <c r="L27" s="54">
        <f t="shared" si="4"/>
        <v>0</v>
      </c>
      <c r="M27" s="11"/>
      <c r="N27" s="11"/>
      <c r="O27" s="11"/>
      <c r="P27" s="23">
        <v>-1000</v>
      </c>
      <c r="Q27" s="22"/>
      <c r="R27" s="23" t="s">
        <v>344</v>
      </c>
      <c r="S27" s="184" t="str">
        <f>IFERROR(IF(D27="tonnes/yr", $P27*$E27/($L$17*3.6), $Q27*$E27*3.6/($L$17*3.6)), "Unfilled fields on left")</f>
        <v>Unfilled fields on left</v>
      </c>
      <c r="U27" s="17"/>
    </row>
    <row r="28" spans="2:22" s="7" customFormat="1">
      <c r="B28" s="182" t="s">
        <v>333</v>
      </c>
      <c r="C28" s="183" t="s">
        <v>343</v>
      </c>
      <c r="D28" s="9" t="s">
        <v>309</v>
      </c>
      <c r="E28" s="19"/>
      <c r="F28" s="17"/>
      <c r="G28" s="17"/>
      <c r="H28" s="16"/>
      <c r="I28" s="16"/>
      <c r="J28" s="16"/>
      <c r="K28" s="16"/>
      <c r="L28" s="54">
        <f t="shared" si="4"/>
        <v>0</v>
      </c>
      <c r="M28" s="11"/>
      <c r="N28" s="11"/>
      <c r="O28" s="11"/>
      <c r="P28" s="23">
        <v>-1000</v>
      </c>
      <c r="Q28" s="22"/>
      <c r="R28" s="23" t="s">
        <v>347</v>
      </c>
      <c r="S28" s="184" t="str">
        <f>IFERROR(IF(D28="tonnes/yr", $P28*$E28/($L$17*3.6), $Q28*$E28*3.6/($L$17*3.6)), "Unfilled fields on left")</f>
        <v>Unfilled fields on left</v>
      </c>
      <c r="U28" s="17"/>
    </row>
    <row r="29" spans="2:22">
      <c r="B29" s="182" t="s">
        <v>349</v>
      </c>
      <c r="C29" s="183" t="s">
        <v>350</v>
      </c>
      <c r="D29" s="9" t="s">
        <v>309</v>
      </c>
      <c r="E29" s="19"/>
      <c r="F29" s="17"/>
      <c r="G29" s="17"/>
      <c r="H29" s="16"/>
      <c r="I29" s="16"/>
      <c r="J29" s="16"/>
      <c r="K29" s="16"/>
      <c r="L29" s="54">
        <f t="shared" si="4"/>
        <v>0</v>
      </c>
      <c r="M29" s="11"/>
      <c r="N29" s="11"/>
      <c r="O29" s="11"/>
      <c r="P29" s="23">
        <v>-1000</v>
      </c>
      <c r="Q29" s="22"/>
      <c r="R29" s="23" t="s">
        <v>352</v>
      </c>
      <c r="S29" s="184" t="str">
        <f t="shared" ref="S29:S33" si="5">IFERROR(IF(D29="tonnes/yr", $P29*$E29/($L$17*3.6), $Q29*$E29*3.6/($L$17*3.6)), "Unfilled fields on left")</f>
        <v>Unfilled fields on left</v>
      </c>
      <c r="T29" s="7"/>
      <c r="U29" s="17"/>
      <c r="V29" s="4"/>
    </row>
    <row r="30" spans="2:22">
      <c r="B30" s="182" t="s">
        <v>349</v>
      </c>
      <c r="C30" s="183" t="s">
        <v>351</v>
      </c>
      <c r="D30" s="9" t="s">
        <v>309</v>
      </c>
      <c r="E30" s="19"/>
      <c r="F30" s="17"/>
      <c r="G30" s="17"/>
      <c r="H30" s="16"/>
      <c r="I30" s="16"/>
      <c r="J30" s="16"/>
      <c r="K30" s="16"/>
      <c r="L30" s="54">
        <f t="shared" si="4"/>
        <v>0</v>
      </c>
      <c r="M30" s="11"/>
      <c r="N30" s="11"/>
      <c r="O30" s="11"/>
      <c r="P30" s="23">
        <v>-1000</v>
      </c>
      <c r="Q30" s="22"/>
      <c r="R30" s="23" t="s">
        <v>353</v>
      </c>
      <c r="S30" s="184" t="str">
        <f t="shared" si="5"/>
        <v>Unfilled fields on left</v>
      </c>
      <c r="T30" s="7"/>
      <c r="U30" s="17"/>
      <c r="V30" s="4"/>
    </row>
    <row r="31" spans="2:22">
      <c r="B31" s="182" t="s">
        <v>323</v>
      </c>
      <c r="C31" s="183" t="s">
        <v>324</v>
      </c>
      <c r="D31" s="9" t="s">
        <v>309</v>
      </c>
      <c r="E31" s="19"/>
      <c r="F31" s="17"/>
      <c r="G31" s="17"/>
      <c r="H31" s="16"/>
      <c r="I31" s="16"/>
      <c r="J31" s="16"/>
      <c r="K31" s="16"/>
      <c r="L31" s="54">
        <f t="shared" si="4"/>
        <v>0</v>
      </c>
      <c r="M31" s="11"/>
      <c r="N31" s="11"/>
      <c r="O31" s="11"/>
      <c r="P31" s="23">
        <v>28000</v>
      </c>
      <c r="Q31" s="22"/>
      <c r="R31" s="23" t="s">
        <v>328</v>
      </c>
      <c r="S31" s="184" t="str">
        <f t="shared" si="5"/>
        <v>Unfilled fields on left</v>
      </c>
      <c r="T31" s="7"/>
      <c r="U31" s="17"/>
      <c r="V31" s="4"/>
    </row>
    <row r="32" spans="2:22">
      <c r="B32" s="182" t="s">
        <v>323</v>
      </c>
      <c r="C32" s="183" t="s">
        <v>325</v>
      </c>
      <c r="D32" s="9" t="s">
        <v>309</v>
      </c>
      <c r="E32" s="19"/>
      <c r="F32" s="17"/>
      <c r="G32" s="17"/>
      <c r="H32" s="16"/>
      <c r="I32" s="16"/>
      <c r="J32" s="16"/>
      <c r="K32" s="16"/>
      <c r="L32" s="54">
        <f t="shared" si="4"/>
        <v>0</v>
      </c>
      <c r="M32" s="11"/>
      <c r="N32" s="11"/>
      <c r="O32" s="11"/>
      <c r="P32" s="23">
        <v>265000</v>
      </c>
      <c r="Q32" s="22"/>
      <c r="R32" s="23" t="s">
        <v>328</v>
      </c>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168</v>
      </c>
      <c r="S35" s="187">
        <f>SUM(S4:S34)</f>
        <v>0</v>
      </c>
      <c r="V35" s="4"/>
    </row>
    <row r="36" spans="2:22">
      <c r="B36" s="181" t="s">
        <v>329</v>
      </c>
      <c r="C36" s="177"/>
      <c r="D36" s="177"/>
      <c r="E36" s="177"/>
      <c r="M36" s="4"/>
      <c r="V36" s="4"/>
    </row>
    <row r="37" spans="2:22">
      <c r="B37" s="10" t="s">
        <v>330</v>
      </c>
      <c r="C37" s="9" t="s">
        <v>331</v>
      </c>
      <c r="D37" s="9" t="s">
        <v>169</v>
      </c>
      <c r="E37" s="10"/>
    </row>
    <row r="38" spans="2:22">
      <c r="B38" s="10" t="s">
        <v>335</v>
      </c>
      <c r="C38" s="9" t="s">
        <v>336</v>
      </c>
      <c r="D38" s="9" t="s">
        <v>337</v>
      </c>
      <c r="E38" s="10"/>
    </row>
    <row r="39" spans="2:22">
      <c r="B39" s="10" t="s">
        <v>338</v>
      </c>
      <c r="C39" s="9" t="s">
        <v>339</v>
      </c>
      <c r="D39" s="9" t="s">
        <v>337</v>
      </c>
      <c r="E39" s="10"/>
    </row>
    <row r="40" spans="2:22">
      <c r="B40" s="10"/>
      <c r="C40" s="10"/>
      <c r="D40" s="10"/>
      <c r="E40" s="10"/>
    </row>
  </sheetData>
  <dataValidations count="1">
    <dataValidation type="list" allowBlank="1" showInputMessage="1" showErrorMessage="1" sqref="D5:D14 D17:D33" xr:uid="{E5DDD3D1-B932-4D52-9AD2-BEF3BEA38C02}">
      <formula1>"tonnes/yr, MWh/yr (LHV)"</formula1>
    </dataValidation>
  </dataValidations>
  <pageMargins left="0.70000000000000007" right="0.70000000000000007" top="0.75" bottom="0.75" header="0.30000000000000004" footer="0.3000000000000000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B2:V40"/>
  <sheetViews>
    <sheetView showGridLines="0" zoomScaleNormal="100" workbookViewId="0"/>
  </sheetViews>
  <sheetFormatPr defaultColWidth="7.21875" defaultRowHeight="14.4"/>
  <cols>
    <col min="1" max="1" width="5.21875" style="4" customWidth="1"/>
    <col min="2" max="2" width="25" style="4" bestFit="1" customWidth="1"/>
    <col min="3" max="3" width="39" style="4" bestFit="1" customWidth="1"/>
    <col min="4" max="4" width="13.44140625" style="4" customWidth="1"/>
    <col min="5" max="5" width="15.33203125" style="6" customWidth="1"/>
    <col min="6" max="6" width="20.88671875" style="4" customWidth="1"/>
    <col min="7" max="7" width="17" style="4" customWidth="1"/>
    <col min="8" max="8" width="12.77734375" style="5" customWidth="1"/>
    <col min="9" max="9" width="17.44140625" style="5" customWidth="1"/>
    <col min="10" max="11" width="14.21875" style="5" customWidth="1"/>
    <col min="12" max="12" width="14" style="5" customWidth="1"/>
    <col min="13" max="13" width="7.21875" style="1"/>
    <col min="14" max="14" width="18.77734375" style="4" customWidth="1"/>
    <col min="15" max="15" width="17.5546875" style="4" customWidth="1"/>
    <col min="16" max="17" width="20.77734375" style="5" customWidth="1"/>
    <col min="18" max="18" width="16.21875" style="5" customWidth="1"/>
    <col min="19" max="19" width="20.21875" style="48" customWidth="1"/>
    <col min="20" max="20" width="7.21875" style="4" customWidth="1"/>
    <col min="21" max="21" width="21.33203125" style="4" customWidth="1"/>
    <col min="22" max="22" width="7.21875" style="1"/>
    <col min="23" max="16384" width="7.21875" style="4"/>
  </cols>
  <sheetData>
    <row r="2" spans="2:22" ht="87" thickBot="1">
      <c r="B2" s="3" t="s">
        <v>170</v>
      </c>
      <c r="C2" s="3" t="s">
        <v>171</v>
      </c>
      <c r="D2" s="3" t="s">
        <v>8</v>
      </c>
      <c r="E2" s="8" t="s">
        <v>172</v>
      </c>
      <c r="F2" s="38" t="s">
        <v>297</v>
      </c>
      <c r="G2" s="38" t="s">
        <v>298</v>
      </c>
      <c r="H2" s="38" t="s">
        <v>173</v>
      </c>
      <c r="I2" s="38" t="s">
        <v>299</v>
      </c>
      <c r="J2" s="38" t="s">
        <v>300</v>
      </c>
      <c r="K2" s="38" t="s">
        <v>301</v>
      </c>
      <c r="L2" s="38" t="s">
        <v>302</v>
      </c>
      <c r="M2" s="38"/>
      <c r="N2" s="39" t="s">
        <v>311</v>
      </c>
      <c r="O2" s="39" t="s">
        <v>312</v>
      </c>
      <c r="P2" s="38" t="s">
        <v>313</v>
      </c>
      <c r="Q2" s="38" t="s">
        <v>314</v>
      </c>
      <c r="R2" s="38" t="s">
        <v>174</v>
      </c>
      <c r="S2" s="47" t="s">
        <v>315</v>
      </c>
      <c r="T2" s="47"/>
      <c r="U2" s="38" t="s">
        <v>175</v>
      </c>
    </row>
    <row r="3" spans="2:22" ht="15" thickTop="1"/>
    <row r="4" spans="2:22">
      <c r="B4" s="181" t="s">
        <v>176</v>
      </c>
      <c r="C4" s="177"/>
      <c r="D4" s="177"/>
      <c r="E4" s="178"/>
      <c r="F4" s="177"/>
      <c r="G4" s="179"/>
      <c r="H4" s="180"/>
      <c r="I4" s="180"/>
      <c r="J4" s="180"/>
      <c r="K4" s="180"/>
      <c r="L4" s="180"/>
      <c r="N4" s="11"/>
      <c r="P4" s="14"/>
      <c r="Q4" s="14"/>
      <c r="R4" s="14"/>
      <c r="S4" s="49"/>
      <c r="U4" s="11"/>
      <c r="V4" s="4"/>
    </row>
    <row r="5" spans="2:22" s="11" customFormat="1">
      <c r="B5" s="10" t="s">
        <v>177</v>
      </c>
      <c r="C5" s="183" t="s">
        <v>341</v>
      </c>
      <c r="D5" s="9" t="s">
        <v>309</v>
      </c>
      <c r="E5" s="43"/>
      <c r="F5" s="17"/>
      <c r="G5" s="17"/>
      <c r="H5" s="16"/>
      <c r="I5" s="16" t="s">
        <v>185</v>
      </c>
      <c r="J5" s="42"/>
      <c r="K5" s="16"/>
      <c r="L5" s="54">
        <f>IF($D5="MWh/yr (LHV)",$E5,$J5*$E5/3.6)</f>
        <v>0</v>
      </c>
      <c r="P5" s="42" t="str">
        <f>IF(B5="", "", IF(D5="MWh/yr (LHV)", "Use column to right", "Enter data here"))</f>
        <v>Enter data here</v>
      </c>
      <c r="Q5" s="42" t="str">
        <f>IF(B5="", "", IF(D5="MWh/yr (LHV)", "Enter data here", "Use column to left"))</f>
        <v>Use column to left</v>
      </c>
      <c r="R5" s="23" t="s">
        <v>362</v>
      </c>
      <c r="S5" s="184" t="str">
        <f>IFERROR(IF(D5="tonnes/yr", $P5*$E5/($L$17*3.6), $Q5*$E5*3.6/($L$17*3.6)), "Unfilled fields on left")</f>
        <v>Unfilled fields on left</v>
      </c>
      <c r="U5" s="23"/>
    </row>
    <row r="6" spans="2:22" s="11" customFormat="1">
      <c r="B6" s="182" t="s">
        <v>179</v>
      </c>
      <c r="C6" s="183" t="s">
        <v>180</v>
      </c>
      <c r="D6" s="9" t="s">
        <v>310</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362</v>
      </c>
      <c r="S6" s="184" t="str">
        <f t="shared" ref="S6:S14" si="3">IFERROR(IF(D6="tonnes/yr", $P6*$E6/($L$17*3.6), $Q6*$E6*3.6/($L$17*3.6)), "Unfilled fields on left")</f>
        <v>Unfilled fields on left</v>
      </c>
      <c r="U6" s="17"/>
    </row>
    <row r="7" spans="2:22">
      <c r="B7" s="182" t="s">
        <v>179</v>
      </c>
      <c r="C7" s="183" t="s">
        <v>187</v>
      </c>
      <c r="D7" s="9" t="s">
        <v>310</v>
      </c>
      <c r="E7" s="18"/>
      <c r="F7" s="17"/>
      <c r="G7" s="17"/>
      <c r="H7" s="16"/>
      <c r="I7" s="16"/>
      <c r="J7" s="16"/>
      <c r="K7" s="16"/>
      <c r="L7" s="54">
        <f t="shared" si="0"/>
        <v>0</v>
      </c>
      <c r="M7" s="11"/>
      <c r="N7" s="11"/>
      <c r="O7" s="11"/>
      <c r="P7" s="42" t="str">
        <f t="shared" si="1"/>
        <v>Use column to right</v>
      </c>
      <c r="Q7" s="42" t="str">
        <f t="shared" si="2"/>
        <v>Enter data here</v>
      </c>
      <c r="R7" s="23" t="s">
        <v>362</v>
      </c>
      <c r="S7" s="184" t="str">
        <f t="shared" si="3"/>
        <v>Unfilled fields on left</v>
      </c>
      <c r="U7" s="17"/>
      <c r="V7" s="4"/>
    </row>
    <row r="8" spans="2:22" s="7" customFormat="1">
      <c r="B8" s="182" t="s">
        <v>179</v>
      </c>
      <c r="C8" s="183" t="s">
        <v>182</v>
      </c>
      <c r="D8" s="9" t="s">
        <v>309</v>
      </c>
      <c r="E8" s="19"/>
      <c r="F8" s="17"/>
      <c r="G8" s="17"/>
      <c r="H8" s="16"/>
      <c r="I8" s="16"/>
      <c r="J8" s="16"/>
      <c r="K8" s="16"/>
      <c r="L8" s="54">
        <f t="shared" si="0"/>
        <v>0</v>
      </c>
      <c r="M8" s="11"/>
      <c r="N8" s="11"/>
      <c r="O8" s="11"/>
      <c r="P8" s="42" t="str">
        <f t="shared" si="1"/>
        <v>Enter data here</v>
      </c>
      <c r="Q8" s="42" t="str">
        <f t="shared" si="2"/>
        <v>Use column to left</v>
      </c>
      <c r="R8" s="23" t="s">
        <v>362</v>
      </c>
      <c r="S8" s="184" t="str">
        <f t="shared" si="3"/>
        <v>Unfilled fields on left</v>
      </c>
      <c r="U8" s="24"/>
    </row>
    <row r="9" spans="2:22" s="7" customFormat="1">
      <c r="B9" s="182" t="s">
        <v>179</v>
      </c>
      <c r="C9" s="183" t="s">
        <v>304</v>
      </c>
      <c r="D9" s="9" t="s">
        <v>309</v>
      </c>
      <c r="E9" s="19"/>
      <c r="F9" s="17"/>
      <c r="G9" s="17"/>
      <c r="H9" s="16"/>
      <c r="I9" s="16"/>
      <c r="J9" s="16"/>
      <c r="K9" s="16"/>
      <c r="L9" s="54">
        <f t="shared" si="0"/>
        <v>0</v>
      </c>
      <c r="M9" s="11"/>
      <c r="N9" s="11"/>
      <c r="O9" s="11"/>
      <c r="P9" s="42" t="str">
        <f t="shared" si="1"/>
        <v>Enter data here</v>
      </c>
      <c r="Q9" s="42" t="str">
        <f t="shared" si="2"/>
        <v>Use column to left</v>
      </c>
      <c r="R9" s="23" t="s">
        <v>362</v>
      </c>
      <c r="S9" s="184" t="str">
        <f t="shared" si="3"/>
        <v>Unfilled fields on left</v>
      </c>
      <c r="U9" s="24"/>
    </row>
    <row r="10" spans="2:22">
      <c r="B10" s="182" t="s">
        <v>191</v>
      </c>
      <c r="C10" s="183" t="s">
        <v>192</v>
      </c>
      <c r="D10" s="9" t="s">
        <v>309</v>
      </c>
      <c r="E10" s="19"/>
      <c r="F10" s="17"/>
      <c r="G10" s="17"/>
      <c r="H10" s="16"/>
      <c r="I10" s="16"/>
      <c r="J10" s="16"/>
      <c r="K10" s="16"/>
      <c r="L10" s="54">
        <f t="shared" si="0"/>
        <v>0</v>
      </c>
      <c r="M10" s="11"/>
      <c r="N10" s="11"/>
      <c r="O10" s="11"/>
      <c r="P10" s="42" t="str">
        <f t="shared" si="1"/>
        <v>Enter data here</v>
      </c>
      <c r="Q10" s="42" t="str">
        <f t="shared" si="2"/>
        <v>Use column to left</v>
      </c>
      <c r="R10" s="23" t="s">
        <v>362</v>
      </c>
      <c r="S10" s="184" t="str">
        <f t="shared" si="3"/>
        <v>Unfilled fields on left</v>
      </c>
      <c r="U10" s="24"/>
      <c r="V10" s="4"/>
    </row>
    <row r="11" spans="2:22">
      <c r="B11" s="182" t="s">
        <v>191</v>
      </c>
      <c r="C11" s="183" t="s">
        <v>305</v>
      </c>
      <c r="D11" s="9" t="s">
        <v>309</v>
      </c>
      <c r="E11" s="19"/>
      <c r="F11" s="17"/>
      <c r="G11" s="17"/>
      <c r="H11" s="16"/>
      <c r="I11" s="16"/>
      <c r="J11" s="16"/>
      <c r="K11" s="16"/>
      <c r="L11" s="54">
        <f t="shared" si="0"/>
        <v>0</v>
      </c>
      <c r="M11" s="11"/>
      <c r="N11" s="11"/>
      <c r="O11" s="11"/>
      <c r="P11" s="42" t="str">
        <f t="shared" si="1"/>
        <v>Enter data here</v>
      </c>
      <c r="Q11" s="42" t="str">
        <f t="shared" si="2"/>
        <v>Use column to left</v>
      </c>
      <c r="R11" s="23" t="s">
        <v>362</v>
      </c>
      <c r="S11" s="184" t="str">
        <f t="shared" si="3"/>
        <v>Unfilled fields on left</v>
      </c>
      <c r="U11" s="24"/>
      <c r="V11" s="4"/>
    </row>
    <row r="12" spans="2:22">
      <c r="B12" s="182" t="s">
        <v>308</v>
      </c>
      <c r="C12" s="183" t="s">
        <v>306</v>
      </c>
      <c r="D12" s="9" t="s">
        <v>309</v>
      </c>
      <c r="E12" s="19"/>
      <c r="F12" s="17"/>
      <c r="G12" s="17"/>
      <c r="H12" s="16"/>
      <c r="I12" s="16"/>
      <c r="J12" s="16"/>
      <c r="K12" s="16"/>
      <c r="L12" s="54">
        <f t="shared" si="0"/>
        <v>0</v>
      </c>
      <c r="M12" s="11"/>
      <c r="N12" s="11"/>
      <c r="O12" s="11"/>
      <c r="P12" s="42" t="str">
        <f t="shared" si="1"/>
        <v>Enter data here</v>
      </c>
      <c r="Q12" s="42" t="str">
        <f t="shared" si="2"/>
        <v>Use column to left</v>
      </c>
      <c r="R12" s="23" t="s">
        <v>362</v>
      </c>
      <c r="S12" s="184" t="str">
        <f t="shared" si="3"/>
        <v>Unfilled fields on left</v>
      </c>
      <c r="U12" s="24"/>
      <c r="V12" s="4"/>
    </row>
    <row r="13" spans="2:22">
      <c r="B13" s="182" t="s">
        <v>308</v>
      </c>
      <c r="C13" s="183" t="s">
        <v>307</v>
      </c>
      <c r="D13" s="9" t="s">
        <v>309</v>
      </c>
      <c r="E13" s="19"/>
      <c r="F13" s="17"/>
      <c r="G13" s="17"/>
      <c r="H13" s="16"/>
      <c r="I13" s="16"/>
      <c r="J13" s="16"/>
      <c r="K13" s="16"/>
      <c r="L13" s="54">
        <f t="shared" si="0"/>
        <v>0</v>
      </c>
      <c r="M13" s="11"/>
      <c r="N13" s="11"/>
      <c r="O13" s="11"/>
      <c r="P13" s="42" t="str">
        <f t="shared" si="1"/>
        <v>Enter data here</v>
      </c>
      <c r="Q13" s="42" t="str">
        <f t="shared" si="2"/>
        <v>Use column to left</v>
      </c>
      <c r="R13" s="23" t="s">
        <v>362</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362</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183</v>
      </c>
      <c r="C16" s="177"/>
      <c r="D16" s="177"/>
      <c r="E16" s="178"/>
      <c r="F16" s="177"/>
      <c r="G16" s="179"/>
      <c r="H16" s="180"/>
      <c r="I16" s="180"/>
      <c r="J16" s="180"/>
      <c r="K16" s="180"/>
      <c r="L16" s="180"/>
      <c r="M16" s="41"/>
      <c r="N16" s="15"/>
      <c r="O16" s="11"/>
      <c r="P16" s="22"/>
      <c r="Q16" s="22"/>
      <c r="R16" s="22"/>
      <c r="S16" s="186"/>
      <c r="U16" s="27"/>
      <c r="V16" s="4"/>
    </row>
    <row r="17" spans="2:22" s="11" customFormat="1">
      <c r="B17" s="10" t="s">
        <v>184</v>
      </c>
      <c r="C17" s="183" t="s">
        <v>341</v>
      </c>
      <c r="D17" s="9" t="s">
        <v>309</v>
      </c>
      <c r="E17" s="44"/>
      <c r="F17" s="17"/>
      <c r="G17" s="17"/>
      <c r="H17" s="17"/>
      <c r="I17" s="17" t="s">
        <v>185</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188</v>
      </c>
      <c r="C18" s="183" t="s">
        <v>317</v>
      </c>
      <c r="D18" s="9" t="s">
        <v>309</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188</v>
      </c>
      <c r="C19" s="183" t="s">
        <v>318</v>
      </c>
      <c r="D19" s="9" t="s">
        <v>309</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186</v>
      </c>
      <c r="C20" s="183" t="s">
        <v>319</v>
      </c>
      <c r="D20" s="9" t="s">
        <v>309</v>
      </c>
      <c r="E20" s="19"/>
      <c r="F20" s="17"/>
      <c r="G20" s="17"/>
      <c r="H20" s="16"/>
      <c r="I20" s="16"/>
      <c r="J20" s="16"/>
      <c r="K20" s="16"/>
      <c r="L20" s="54">
        <f t="shared" si="4"/>
        <v>0</v>
      </c>
      <c r="M20" s="11"/>
      <c r="N20" s="11"/>
      <c r="O20" s="11"/>
      <c r="P20" s="22"/>
      <c r="Q20" s="22"/>
      <c r="R20" s="22"/>
      <c r="S20" s="22"/>
      <c r="U20" s="17"/>
    </row>
    <row r="21" spans="2:22" s="7" customFormat="1">
      <c r="B21" s="182" t="s">
        <v>186</v>
      </c>
      <c r="C21" s="183" t="s">
        <v>355</v>
      </c>
      <c r="D21" s="9" t="s">
        <v>309</v>
      </c>
      <c r="E21" s="19"/>
      <c r="F21" s="17"/>
      <c r="G21" s="17"/>
      <c r="H21" s="16"/>
      <c r="I21" s="16"/>
      <c r="J21" s="16"/>
      <c r="K21" s="16"/>
      <c r="L21" s="54">
        <f t="shared" si="4"/>
        <v>0</v>
      </c>
      <c r="M21" s="11"/>
      <c r="N21" s="11"/>
      <c r="O21" s="11"/>
      <c r="P21" s="22"/>
      <c r="Q21" s="22"/>
      <c r="R21" s="22"/>
      <c r="S21" s="22"/>
      <c r="U21" s="17"/>
    </row>
    <row r="22" spans="2:22" s="7" customFormat="1">
      <c r="B22" s="182" t="s">
        <v>189</v>
      </c>
      <c r="C22" s="183" t="s">
        <v>320</v>
      </c>
      <c r="D22" s="9" t="s">
        <v>309</v>
      </c>
      <c r="E22" s="44"/>
      <c r="F22" s="17"/>
      <c r="G22" s="17"/>
      <c r="H22" s="16"/>
      <c r="I22" s="45"/>
      <c r="J22" s="42"/>
      <c r="K22" s="16"/>
      <c r="L22" s="54">
        <f t="shared" si="4"/>
        <v>0</v>
      </c>
      <c r="M22" s="11"/>
      <c r="N22" s="11"/>
      <c r="O22" s="11"/>
      <c r="P22" s="22"/>
      <c r="Q22" s="22"/>
      <c r="R22" s="22"/>
      <c r="S22" s="22"/>
      <c r="U22" s="17"/>
    </row>
    <row r="23" spans="2:22" s="7" customFormat="1">
      <c r="B23" s="182" t="s">
        <v>189</v>
      </c>
      <c r="C23" s="183" t="s">
        <v>190</v>
      </c>
      <c r="D23" s="9" t="s">
        <v>309</v>
      </c>
      <c r="E23" s="19"/>
      <c r="F23" s="17"/>
      <c r="G23" s="17"/>
      <c r="H23" s="16"/>
      <c r="I23" s="16"/>
      <c r="J23" s="16"/>
      <c r="K23" s="16"/>
      <c r="L23" s="54">
        <f t="shared" si="4"/>
        <v>0</v>
      </c>
      <c r="M23" s="11"/>
      <c r="N23" s="11"/>
      <c r="O23" s="11"/>
      <c r="P23" s="22"/>
      <c r="Q23" s="22"/>
      <c r="R23" s="22"/>
      <c r="S23" s="22"/>
      <c r="U23" s="17"/>
    </row>
    <row r="24" spans="2:22" s="7" customFormat="1">
      <c r="B24" s="182" t="s">
        <v>321</v>
      </c>
      <c r="C24" s="183" t="s">
        <v>322</v>
      </c>
      <c r="D24" s="9" t="s">
        <v>309</v>
      </c>
      <c r="E24" s="19"/>
      <c r="F24" s="17"/>
      <c r="G24" s="17"/>
      <c r="H24" s="16"/>
      <c r="I24" s="16"/>
      <c r="J24" s="16"/>
      <c r="K24" s="16"/>
      <c r="L24" s="54">
        <f t="shared" si="4"/>
        <v>0</v>
      </c>
      <c r="M24" s="11"/>
      <c r="N24" s="11"/>
      <c r="O24" s="11"/>
      <c r="P24" s="23">
        <v>1000</v>
      </c>
      <c r="Q24" s="22"/>
      <c r="R24" s="23" t="s">
        <v>327</v>
      </c>
      <c r="S24" s="184" t="str">
        <f>IFERROR(IF(D24="tonnes/yr", $P24*$E24/($L$17*3.6), $Q24*$E24*3.6/($L$17*3.6)), "Unfilled fields on left")</f>
        <v>Unfilled fields on left</v>
      </c>
      <c r="U24" s="17"/>
    </row>
    <row r="25" spans="2:22" s="7" customFormat="1">
      <c r="B25" s="182" t="s">
        <v>323</v>
      </c>
      <c r="C25" s="183" t="s">
        <v>324</v>
      </c>
      <c r="D25" s="9" t="s">
        <v>309</v>
      </c>
      <c r="E25" s="19"/>
      <c r="F25" s="17"/>
      <c r="G25" s="17"/>
      <c r="H25" s="16"/>
      <c r="I25" s="16"/>
      <c r="J25" s="16"/>
      <c r="K25" s="16"/>
      <c r="L25" s="54">
        <f t="shared" si="4"/>
        <v>0</v>
      </c>
      <c r="M25" s="11"/>
      <c r="N25" s="11"/>
      <c r="O25" s="11"/>
      <c r="P25" s="23">
        <v>28000</v>
      </c>
      <c r="Q25" s="22"/>
      <c r="R25" s="23" t="s">
        <v>328</v>
      </c>
      <c r="S25" s="184" t="str">
        <f>IFERROR(IF(D25="tonnes/yr", $P25*$E25/($L$17*3.6), $Q25*$E25*3.6/($L$17*3.6)), "Unfilled fields on left")</f>
        <v>Unfilled fields on left</v>
      </c>
      <c r="U25" s="17"/>
    </row>
    <row r="26" spans="2:22" s="7" customFormat="1">
      <c r="B26" s="182" t="s">
        <v>323</v>
      </c>
      <c r="C26" s="183" t="s">
        <v>325</v>
      </c>
      <c r="D26" s="9" t="s">
        <v>309</v>
      </c>
      <c r="E26" s="19"/>
      <c r="F26" s="17"/>
      <c r="G26" s="17"/>
      <c r="H26" s="16"/>
      <c r="I26" s="16"/>
      <c r="J26" s="16"/>
      <c r="K26" s="16"/>
      <c r="L26" s="54">
        <f t="shared" si="4"/>
        <v>0</v>
      </c>
      <c r="M26" s="11"/>
      <c r="N26" s="11"/>
      <c r="O26" s="11"/>
      <c r="P26" s="23">
        <v>265000</v>
      </c>
      <c r="Q26" s="22"/>
      <c r="R26" s="23" t="s">
        <v>328</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168</v>
      </c>
      <c r="S35" s="187">
        <f>SUM(S4:S34)</f>
        <v>0</v>
      </c>
      <c r="V35" s="4"/>
    </row>
    <row r="36" spans="2:22">
      <c r="B36" s="181" t="s">
        <v>329</v>
      </c>
      <c r="C36" s="177"/>
      <c r="D36" s="177"/>
      <c r="E36" s="177"/>
      <c r="M36" s="4"/>
      <c r="V36" s="4"/>
    </row>
    <row r="37" spans="2:22">
      <c r="B37" s="10" t="s">
        <v>330</v>
      </c>
      <c r="C37" s="9" t="s">
        <v>331</v>
      </c>
      <c r="D37" s="9" t="s">
        <v>169</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E62D1ABF-2CE6-469D-B309-503EA421C07C}">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B1:V40"/>
  <sheetViews>
    <sheetView showGridLines="0" zoomScaleNormal="100" zoomScalePageLayoutView="120" workbookViewId="0"/>
  </sheetViews>
  <sheetFormatPr defaultColWidth="7.21875" defaultRowHeight="14.4"/>
  <cols>
    <col min="1" max="1" width="5.21875" style="4" customWidth="1"/>
    <col min="2" max="2" width="25" style="4" bestFit="1" customWidth="1"/>
    <col min="3" max="3" width="39" style="4" bestFit="1" customWidth="1"/>
    <col min="4" max="4" width="13.44140625" style="4" customWidth="1"/>
    <col min="5" max="5" width="15.33203125" style="6" customWidth="1"/>
    <col min="6" max="6" width="20.88671875" style="4" customWidth="1"/>
    <col min="7" max="7" width="17" style="4" customWidth="1"/>
    <col min="8" max="8" width="12.77734375" style="5" customWidth="1"/>
    <col min="9" max="9" width="17.44140625" style="5" customWidth="1"/>
    <col min="10" max="11" width="14.21875" style="5" customWidth="1"/>
    <col min="12" max="12" width="14" style="5" customWidth="1"/>
    <col min="14" max="14" width="18.77734375" style="4" customWidth="1"/>
    <col min="15" max="15" width="17.5546875" style="4" customWidth="1"/>
    <col min="16" max="17" width="20.77734375" style="5" customWidth="1"/>
    <col min="18" max="18" width="16.21875" style="5" customWidth="1"/>
    <col min="19" max="19" width="20.21875" style="48" customWidth="1"/>
    <col min="20" max="20" width="7.21875" style="4" customWidth="1"/>
    <col min="21" max="21" width="21.33203125" style="4" customWidth="1"/>
    <col min="23" max="16384" width="7.21875" style="4"/>
  </cols>
  <sheetData>
    <row r="1" spans="2:22">
      <c r="M1" s="1"/>
      <c r="V1" s="1"/>
    </row>
    <row r="2" spans="2:22" ht="87" thickBot="1">
      <c r="B2" s="3" t="s">
        <v>170</v>
      </c>
      <c r="C2" s="3" t="s">
        <v>171</v>
      </c>
      <c r="D2" s="3" t="s">
        <v>8</v>
      </c>
      <c r="E2" s="8" t="s">
        <v>172</v>
      </c>
      <c r="F2" s="38" t="s">
        <v>297</v>
      </c>
      <c r="G2" s="38" t="s">
        <v>298</v>
      </c>
      <c r="H2" s="38" t="s">
        <v>173</v>
      </c>
      <c r="I2" s="38" t="s">
        <v>299</v>
      </c>
      <c r="J2" s="38" t="s">
        <v>300</v>
      </c>
      <c r="K2" s="38" t="s">
        <v>301</v>
      </c>
      <c r="L2" s="38" t="s">
        <v>302</v>
      </c>
      <c r="M2" s="38"/>
      <c r="N2" s="39" t="s">
        <v>311</v>
      </c>
      <c r="O2" s="39" t="s">
        <v>312</v>
      </c>
      <c r="P2" s="38" t="s">
        <v>313</v>
      </c>
      <c r="Q2" s="38" t="s">
        <v>314</v>
      </c>
      <c r="R2" s="38" t="s">
        <v>174</v>
      </c>
      <c r="S2" s="47" t="s">
        <v>315</v>
      </c>
      <c r="T2" s="47"/>
      <c r="U2" s="38" t="s">
        <v>175</v>
      </c>
      <c r="V2" s="1"/>
    </row>
    <row r="3" spans="2:22" ht="15" thickTop="1">
      <c r="M3" s="1"/>
      <c r="V3" s="1"/>
    </row>
    <row r="4" spans="2:22">
      <c r="B4" s="181" t="s">
        <v>176</v>
      </c>
      <c r="C4" s="177"/>
      <c r="D4" s="177"/>
      <c r="E4" s="178"/>
      <c r="F4" s="177"/>
      <c r="G4" s="179"/>
      <c r="H4" s="180"/>
      <c r="I4" s="180"/>
      <c r="J4" s="180"/>
      <c r="K4" s="180"/>
      <c r="L4" s="180"/>
      <c r="M4" s="1"/>
      <c r="N4" s="11"/>
      <c r="P4" s="14"/>
      <c r="Q4" s="14"/>
      <c r="R4" s="14"/>
      <c r="S4" s="49"/>
      <c r="U4" s="11"/>
      <c r="V4" s="4"/>
    </row>
    <row r="5" spans="2:22" s="11" customFormat="1">
      <c r="B5" s="10" t="s">
        <v>177</v>
      </c>
      <c r="C5" s="183" t="s">
        <v>341</v>
      </c>
      <c r="D5" s="9" t="s">
        <v>309</v>
      </c>
      <c r="E5" s="43"/>
      <c r="F5" s="17"/>
      <c r="G5" s="17"/>
      <c r="H5" s="16"/>
      <c r="I5" s="16" t="s">
        <v>185</v>
      </c>
      <c r="J5" s="42"/>
      <c r="K5" s="16"/>
      <c r="L5" s="54">
        <f>IF($D5="MWh/yr (LHV)",$E5,$J5*$E5/3.6)</f>
        <v>0</v>
      </c>
      <c r="P5" s="42" t="str">
        <f>IF(B5="", "", IF(D5="MWh/yr (LHV)", "Use column to right", "Enter data here"))</f>
        <v>Enter data here</v>
      </c>
      <c r="Q5" s="42" t="str">
        <f>IF(B5="", "", IF(D5="MWh/yr (LHV)", "Enter data here", "Use column to left"))</f>
        <v>Use column to left</v>
      </c>
      <c r="R5" s="23" t="s">
        <v>362</v>
      </c>
      <c r="S5" s="184" t="str">
        <f>IFERROR(IF(D5="tonnes/yr", $P5*$E5/($L$17*3.6), $Q5*$E5*3.6/($L$17*3.6)), "Unfilled fields on left")</f>
        <v>Unfilled fields on left</v>
      </c>
      <c r="U5" s="23"/>
    </row>
    <row r="6" spans="2:22" s="11" customFormat="1">
      <c r="B6" s="182" t="s">
        <v>179</v>
      </c>
      <c r="C6" s="183" t="s">
        <v>180</v>
      </c>
      <c r="D6" s="9" t="s">
        <v>310</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362</v>
      </c>
      <c r="S6" s="184" t="str">
        <f t="shared" ref="S6:S14" si="3">IFERROR(IF(D6="tonnes/yr", $P6*$E6/($L$17*3.6), $Q6*$E6*3.6/($L$17*3.6)), "Unfilled fields on left")</f>
        <v>Unfilled fields on left</v>
      </c>
      <c r="U6" s="17"/>
    </row>
    <row r="7" spans="2:22">
      <c r="B7" s="182" t="s">
        <v>179</v>
      </c>
      <c r="C7" s="183" t="s">
        <v>187</v>
      </c>
      <c r="D7" s="9" t="s">
        <v>310</v>
      </c>
      <c r="E7" s="18"/>
      <c r="F7" s="17"/>
      <c r="G7" s="17"/>
      <c r="H7" s="16"/>
      <c r="I7" s="16"/>
      <c r="J7" s="16"/>
      <c r="K7" s="16"/>
      <c r="L7" s="54">
        <f t="shared" si="0"/>
        <v>0</v>
      </c>
      <c r="M7" s="11"/>
      <c r="N7" s="11"/>
      <c r="O7" s="11"/>
      <c r="P7" s="42" t="str">
        <f t="shared" si="1"/>
        <v>Use column to right</v>
      </c>
      <c r="Q7" s="42" t="str">
        <f t="shared" si="2"/>
        <v>Enter data here</v>
      </c>
      <c r="R7" s="23" t="s">
        <v>362</v>
      </c>
      <c r="S7" s="184" t="str">
        <f t="shared" si="3"/>
        <v>Unfilled fields on left</v>
      </c>
      <c r="U7" s="17"/>
      <c r="V7" s="4"/>
    </row>
    <row r="8" spans="2:22" s="7" customFormat="1">
      <c r="B8" s="182" t="s">
        <v>179</v>
      </c>
      <c r="C8" s="183" t="s">
        <v>182</v>
      </c>
      <c r="D8" s="9" t="s">
        <v>309</v>
      </c>
      <c r="E8" s="19"/>
      <c r="F8" s="17"/>
      <c r="G8" s="17"/>
      <c r="H8" s="16"/>
      <c r="I8" s="16"/>
      <c r="J8" s="16"/>
      <c r="K8" s="16"/>
      <c r="L8" s="54">
        <f t="shared" si="0"/>
        <v>0</v>
      </c>
      <c r="M8" s="11"/>
      <c r="N8" s="11"/>
      <c r="O8" s="11"/>
      <c r="P8" s="42" t="str">
        <f t="shared" si="1"/>
        <v>Enter data here</v>
      </c>
      <c r="Q8" s="42" t="str">
        <f t="shared" si="2"/>
        <v>Use column to left</v>
      </c>
      <c r="R8" s="23" t="s">
        <v>362</v>
      </c>
      <c r="S8" s="184" t="str">
        <f t="shared" si="3"/>
        <v>Unfilled fields on left</v>
      </c>
      <c r="U8" s="24"/>
    </row>
    <row r="9" spans="2:22" s="7" customFormat="1">
      <c r="B9" s="182" t="s">
        <v>179</v>
      </c>
      <c r="C9" s="183" t="s">
        <v>304</v>
      </c>
      <c r="D9" s="9" t="s">
        <v>309</v>
      </c>
      <c r="E9" s="19"/>
      <c r="F9" s="17"/>
      <c r="G9" s="17"/>
      <c r="H9" s="16"/>
      <c r="I9" s="16"/>
      <c r="J9" s="16"/>
      <c r="K9" s="16"/>
      <c r="L9" s="54">
        <f t="shared" si="0"/>
        <v>0</v>
      </c>
      <c r="M9" s="11"/>
      <c r="N9" s="11"/>
      <c r="O9" s="11"/>
      <c r="P9" s="42" t="str">
        <f t="shared" si="1"/>
        <v>Enter data here</v>
      </c>
      <c r="Q9" s="42" t="str">
        <f t="shared" si="2"/>
        <v>Use column to left</v>
      </c>
      <c r="R9" s="23" t="s">
        <v>362</v>
      </c>
      <c r="S9" s="184" t="str">
        <f t="shared" si="3"/>
        <v>Unfilled fields on left</v>
      </c>
      <c r="U9" s="24"/>
    </row>
    <row r="10" spans="2:22">
      <c r="B10" s="182" t="s">
        <v>191</v>
      </c>
      <c r="C10" s="183" t="s">
        <v>192</v>
      </c>
      <c r="D10" s="9" t="s">
        <v>309</v>
      </c>
      <c r="E10" s="19"/>
      <c r="F10" s="17"/>
      <c r="G10" s="17"/>
      <c r="H10" s="16"/>
      <c r="I10" s="16"/>
      <c r="J10" s="16"/>
      <c r="K10" s="16"/>
      <c r="L10" s="54">
        <f t="shared" si="0"/>
        <v>0</v>
      </c>
      <c r="M10" s="11"/>
      <c r="N10" s="11"/>
      <c r="O10" s="11"/>
      <c r="P10" s="42" t="str">
        <f t="shared" si="1"/>
        <v>Enter data here</v>
      </c>
      <c r="Q10" s="42" t="str">
        <f t="shared" si="2"/>
        <v>Use column to left</v>
      </c>
      <c r="R10" s="23" t="s">
        <v>362</v>
      </c>
      <c r="S10" s="184" t="str">
        <f t="shared" si="3"/>
        <v>Unfilled fields on left</v>
      </c>
      <c r="U10" s="24"/>
      <c r="V10" s="4"/>
    </row>
    <row r="11" spans="2:22">
      <c r="B11" s="182" t="s">
        <v>191</v>
      </c>
      <c r="C11" s="183" t="s">
        <v>305</v>
      </c>
      <c r="D11" s="9" t="s">
        <v>309</v>
      </c>
      <c r="E11" s="19"/>
      <c r="F11" s="17"/>
      <c r="G11" s="17"/>
      <c r="H11" s="16"/>
      <c r="I11" s="16"/>
      <c r="J11" s="16"/>
      <c r="K11" s="16"/>
      <c r="L11" s="54">
        <f t="shared" si="0"/>
        <v>0</v>
      </c>
      <c r="M11" s="11"/>
      <c r="N11" s="11"/>
      <c r="O11" s="11"/>
      <c r="P11" s="42" t="str">
        <f t="shared" si="1"/>
        <v>Enter data here</v>
      </c>
      <c r="Q11" s="42" t="str">
        <f t="shared" si="2"/>
        <v>Use column to left</v>
      </c>
      <c r="R11" s="23" t="s">
        <v>362</v>
      </c>
      <c r="S11" s="184" t="str">
        <f t="shared" si="3"/>
        <v>Unfilled fields on left</v>
      </c>
      <c r="U11" s="24"/>
      <c r="V11" s="4"/>
    </row>
    <row r="12" spans="2:22">
      <c r="B12" s="182" t="s">
        <v>308</v>
      </c>
      <c r="C12" s="183" t="s">
        <v>306</v>
      </c>
      <c r="D12" s="9" t="s">
        <v>309</v>
      </c>
      <c r="E12" s="19"/>
      <c r="F12" s="17"/>
      <c r="G12" s="17"/>
      <c r="H12" s="16"/>
      <c r="I12" s="16"/>
      <c r="J12" s="16"/>
      <c r="K12" s="16"/>
      <c r="L12" s="54">
        <f t="shared" si="0"/>
        <v>0</v>
      </c>
      <c r="M12" s="11"/>
      <c r="N12" s="11"/>
      <c r="O12" s="11"/>
      <c r="P12" s="42" t="str">
        <f t="shared" si="1"/>
        <v>Enter data here</v>
      </c>
      <c r="Q12" s="42" t="str">
        <f t="shared" si="2"/>
        <v>Use column to left</v>
      </c>
      <c r="R12" s="23" t="s">
        <v>362</v>
      </c>
      <c r="S12" s="184" t="str">
        <f t="shared" si="3"/>
        <v>Unfilled fields on left</v>
      </c>
      <c r="U12" s="24"/>
      <c r="V12" s="4"/>
    </row>
    <row r="13" spans="2:22">
      <c r="B13" s="182" t="s">
        <v>308</v>
      </c>
      <c r="C13" s="183" t="s">
        <v>307</v>
      </c>
      <c r="D13" s="9" t="s">
        <v>309</v>
      </c>
      <c r="E13" s="19"/>
      <c r="F13" s="17"/>
      <c r="G13" s="17"/>
      <c r="H13" s="16"/>
      <c r="I13" s="16"/>
      <c r="J13" s="16"/>
      <c r="K13" s="16"/>
      <c r="L13" s="54">
        <f t="shared" si="0"/>
        <v>0</v>
      </c>
      <c r="M13" s="11"/>
      <c r="N13" s="11"/>
      <c r="O13" s="11"/>
      <c r="P13" s="42" t="str">
        <f t="shared" si="1"/>
        <v>Enter data here</v>
      </c>
      <c r="Q13" s="42" t="str">
        <f t="shared" si="2"/>
        <v>Use column to left</v>
      </c>
      <c r="R13" s="23" t="s">
        <v>362</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362</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183</v>
      </c>
      <c r="C16" s="177"/>
      <c r="D16" s="177"/>
      <c r="E16" s="178"/>
      <c r="F16" s="177"/>
      <c r="G16" s="179"/>
      <c r="H16" s="180"/>
      <c r="I16" s="180"/>
      <c r="J16" s="180"/>
      <c r="K16" s="180"/>
      <c r="L16" s="180"/>
      <c r="M16" s="41"/>
      <c r="N16" s="15"/>
      <c r="O16" s="11"/>
      <c r="P16" s="22"/>
      <c r="Q16" s="22"/>
      <c r="R16" s="22"/>
      <c r="S16" s="186"/>
      <c r="U16" s="27"/>
      <c r="V16" s="4"/>
    </row>
    <row r="17" spans="2:22" s="11" customFormat="1">
      <c r="B17" s="10" t="s">
        <v>184</v>
      </c>
      <c r="C17" s="183" t="s">
        <v>193</v>
      </c>
      <c r="D17" s="9" t="s">
        <v>309</v>
      </c>
      <c r="E17" s="44"/>
      <c r="F17" s="17"/>
      <c r="G17" s="17"/>
      <c r="H17" s="17"/>
      <c r="I17" s="17" t="s">
        <v>185</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188</v>
      </c>
      <c r="C18" s="183" t="s">
        <v>334</v>
      </c>
      <c r="D18" s="9" t="s">
        <v>310</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188</v>
      </c>
      <c r="C19" s="183" t="s">
        <v>348</v>
      </c>
      <c r="D19" s="9" t="s">
        <v>310</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186</v>
      </c>
      <c r="C20" s="183" t="s">
        <v>319</v>
      </c>
      <c r="D20" s="9" t="s">
        <v>309</v>
      </c>
      <c r="E20" s="19"/>
      <c r="F20" s="17"/>
      <c r="G20" s="17"/>
      <c r="H20" s="16"/>
      <c r="I20" s="16"/>
      <c r="J20" s="16"/>
      <c r="K20" s="16"/>
      <c r="L20" s="54">
        <f t="shared" si="4"/>
        <v>0</v>
      </c>
      <c r="M20" s="11"/>
      <c r="N20" s="11"/>
      <c r="O20" s="11"/>
      <c r="P20" s="22"/>
      <c r="Q20" s="22"/>
      <c r="R20" s="22"/>
      <c r="S20" s="22"/>
      <c r="U20" s="17"/>
    </row>
    <row r="21" spans="2:22" s="7" customFormat="1">
      <c r="B21" s="182" t="s">
        <v>186</v>
      </c>
      <c r="C21" s="183" t="s">
        <v>355</v>
      </c>
      <c r="D21" s="9" t="s">
        <v>309</v>
      </c>
      <c r="E21" s="19"/>
      <c r="F21" s="17"/>
      <c r="G21" s="17"/>
      <c r="H21" s="16"/>
      <c r="I21" s="16"/>
      <c r="J21" s="16"/>
      <c r="K21" s="16"/>
      <c r="L21" s="54">
        <f t="shared" si="4"/>
        <v>0</v>
      </c>
      <c r="M21" s="11"/>
      <c r="N21" s="11"/>
      <c r="O21" s="11"/>
      <c r="P21" s="22"/>
      <c r="Q21" s="22"/>
      <c r="R21" s="22"/>
      <c r="S21" s="22"/>
      <c r="U21" s="17"/>
    </row>
    <row r="22" spans="2:22" s="7" customFormat="1">
      <c r="B22" s="182" t="s">
        <v>186</v>
      </c>
      <c r="C22" s="183" t="s">
        <v>332</v>
      </c>
      <c r="D22" s="9" t="s">
        <v>309</v>
      </c>
      <c r="E22" s="44"/>
      <c r="F22" s="17"/>
      <c r="G22" s="17"/>
      <c r="H22" s="16"/>
      <c r="I22" s="45"/>
      <c r="J22" s="42"/>
      <c r="K22" s="16"/>
      <c r="L22" s="54">
        <f t="shared" si="4"/>
        <v>0</v>
      </c>
      <c r="M22" s="11"/>
      <c r="N22" s="11"/>
      <c r="O22" s="11"/>
      <c r="P22" s="22"/>
      <c r="Q22" s="22"/>
      <c r="R22" s="22"/>
      <c r="S22" s="22"/>
      <c r="U22" s="17"/>
    </row>
    <row r="23" spans="2:22" s="7" customFormat="1">
      <c r="B23" s="182" t="s">
        <v>189</v>
      </c>
      <c r="C23" s="183" t="s">
        <v>320</v>
      </c>
      <c r="D23" s="9" t="s">
        <v>309</v>
      </c>
      <c r="E23" s="19"/>
      <c r="F23" s="17"/>
      <c r="G23" s="17"/>
      <c r="H23" s="16"/>
      <c r="I23" s="16"/>
      <c r="J23" s="16"/>
      <c r="K23" s="16"/>
      <c r="L23" s="54">
        <f t="shared" si="4"/>
        <v>0</v>
      </c>
      <c r="M23" s="11"/>
      <c r="N23" s="11"/>
      <c r="O23" s="11"/>
      <c r="P23" s="22"/>
      <c r="Q23" s="22"/>
      <c r="R23" s="22"/>
      <c r="S23" s="22"/>
      <c r="U23" s="17"/>
    </row>
    <row r="24" spans="2:22" s="7" customFormat="1">
      <c r="B24" s="182" t="s">
        <v>189</v>
      </c>
      <c r="C24" s="183" t="s">
        <v>190</v>
      </c>
      <c r="D24" s="9" t="s">
        <v>309</v>
      </c>
      <c r="E24" s="19"/>
      <c r="F24" s="17"/>
      <c r="G24" s="17"/>
      <c r="H24" s="16"/>
      <c r="I24" s="16"/>
      <c r="J24" s="16"/>
      <c r="K24" s="16"/>
      <c r="L24" s="54">
        <f t="shared" si="4"/>
        <v>0</v>
      </c>
      <c r="M24" s="11"/>
      <c r="N24" s="11"/>
      <c r="O24" s="11"/>
      <c r="P24" s="11"/>
      <c r="Q24" s="11"/>
      <c r="R24" s="11"/>
      <c r="S24" s="11"/>
      <c r="U24" s="17"/>
    </row>
    <row r="25" spans="2:22" s="7" customFormat="1">
      <c r="B25" s="182" t="s">
        <v>321</v>
      </c>
      <c r="C25" s="183" t="s">
        <v>356</v>
      </c>
      <c r="D25" s="9" t="s">
        <v>309</v>
      </c>
      <c r="E25" s="19"/>
      <c r="F25" s="17"/>
      <c r="G25" s="17"/>
      <c r="H25" s="16"/>
      <c r="I25" s="16"/>
      <c r="J25" s="16"/>
      <c r="K25" s="16"/>
      <c r="L25" s="54">
        <f t="shared" si="4"/>
        <v>0</v>
      </c>
      <c r="M25" s="11"/>
      <c r="N25" s="11"/>
      <c r="O25" s="11"/>
      <c r="P25" s="23">
        <v>0</v>
      </c>
      <c r="Q25" s="22"/>
      <c r="R25" s="23" t="s">
        <v>346</v>
      </c>
      <c r="S25" s="184" t="str">
        <f>IFERROR(IF(D25="tonnes/yr", $P25*$E25/($L$17*3.6), $Q25*$E25*3.6/($L$17*3.6)), "Unfilled fields on left")</f>
        <v>Unfilled fields on left</v>
      </c>
      <c r="U25" s="17"/>
    </row>
    <row r="26" spans="2:22" s="7" customFormat="1">
      <c r="B26" s="182" t="s">
        <v>321</v>
      </c>
      <c r="C26" s="183" t="s">
        <v>357</v>
      </c>
      <c r="D26" s="9" t="s">
        <v>309</v>
      </c>
      <c r="E26" s="19"/>
      <c r="F26" s="17"/>
      <c r="G26" s="17"/>
      <c r="H26" s="16"/>
      <c r="I26" s="16"/>
      <c r="J26" s="16"/>
      <c r="K26" s="16"/>
      <c r="L26" s="54">
        <f t="shared" si="4"/>
        <v>0</v>
      </c>
      <c r="M26" s="11"/>
      <c r="N26" s="11"/>
      <c r="O26" s="11"/>
      <c r="P26" s="23">
        <v>1000</v>
      </c>
      <c r="Q26" s="22"/>
      <c r="R26" s="23" t="s">
        <v>345</v>
      </c>
      <c r="S26" s="184" t="str">
        <f>IFERROR(IF(D26="tonnes/yr", $P26*$E26/($L$17*3.6), $Q26*$E26*3.6/($L$17*3.6)), "Unfilled fields on left")</f>
        <v>Unfilled fields on left</v>
      </c>
      <c r="U26" s="17"/>
    </row>
    <row r="27" spans="2:22" s="7" customFormat="1">
      <c r="B27" s="182" t="s">
        <v>333</v>
      </c>
      <c r="C27" s="183" t="s">
        <v>342</v>
      </c>
      <c r="D27" s="9" t="s">
        <v>309</v>
      </c>
      <c r="E27" s="19"/>
      <c r="F27" s="17"/>
      <c r="G27" s="17"/>
      <c r="H27" s="16"/>
      <c r="I27" s="16"/>
      <c r="J27" s="16"/>
      <c r="K27" s="16"/>
      <c r="L27" s="54">
        <f t="shared" si="4"/>
        <v>0</v>
      </c>
      <c r="M27" s="11"/>
      <c r="N27" s="11"/>
      <c r="O27" s="11"/>
      <c r="P27" s="23">
        <v>-1000</v>
      </c>
      <c r="Q27" s="22"/>
      <c r="R27" s="23" t="s">
        <v>344</v>
      </c>
      <c r="S27" s="184" t="str">
        <f>IFERROR(IF(D27="tonnes/yr", $P27*$E27/($L$17*3.6), $Q27*$E27*3.6/($L$17*3.6)), "Unfilled fields on left")</f>
        <v>Unfilled fields on left</v>
      </c>
      <c r="U27" s="17"/>
    </row>
    <row r="28" spans="2:22" s="7" customFormat="1">
      <c r="B28" s="182" t="s">
        <v>333</v>
      </c>
      <c r="C28" s="183" t="s">
        <v>343</v>
      </c>
      <c r="D28" s="9" t="s">
        <v>309</v>
      </c>
      <c r="E28" s="19"/>
      <c r="F28" s="17"/>
      <c r="G28" s="17"/>
      <c r="H28" s="16"/>
      <c r="I28" s="16"/>
      <c r="J28" s="16"/>
      <c r="K28" s="16"/>
      <c r="L28" s="54">
        <f t="shared" si="4"/>
        <v>0</v>
      </c>
      <c r="M28" s="11"/>
      <c r="N28" s="11"/>
      <c r="O28" s="11"/>
      <c r="P28" s="23">
        <v>-1000</v>
      </c>
      <c r="Q28" s="22"/>
      <c r="R28" s="23" t="s">
        <v>347</v>
      </c>
      <c r="S28" s="184" t="str">
        <f>IFERROR(IF(D28="tonnes/yr", $P28*$E28/($L$17*3.6), $Q28*$E28*3.6/($L$17*3.6)), "Unfilled fields on left")</f>
        <v>Unfilled fields on left</v>
      </c>
      <c r="U28" s="17"/>
    </row>
    <row r="29" spans="2:22">
      <c r="B29" s="182" t="s">
        <v>349</v>
      </c>
      <c r="C29" s="183" t="s">
        <v>350</v>
      </c>
      <c r="D29" s="9" t="s">
        <v>309</v>
      </c>
      <c r="E29" s="19"/>
      <c r="F29" s="17"/>
      <c r="G29" s="17"/>
      <c r="H29" s="16"/>
      <c r="I29" s="16"/>
      <c r="J29" s="16"/>
      <c r="K29" s="16"/>
      <c r="L29" s="54">
        <f t="shared" si="4"/>
        <v>0</v>
      </c>
      <c r="M29" s="11"/>
      <c r="N29" s="11"/>
      <c r="O29" s="11"/>
      <c r="P29" s="23">
        <v>-1000</v>
      </c>
      <c r="Q29" s="22"/>
      <c r="R29" s="23" t="s">
        <v>352</v>
      </c>
      <c r="S29" s="184" t="str">
        <f t="shared" ref="S29:S33" si="5">IFERROR(IF(D29="tonnes/yr", $P29*$E29/($L$17*3.6), $Q29*$E29*3.6/($L$17*3.6)), "Unfilled fields on left")</f>
        <v>Unfilled fields on left</v>
      </c>
      <c r="T29" s="7"/>
      <c r="U29" s="17"/>
      <c r="V29" s="4"/>
    </row>
    <row r="30" spans="2:22">
      <c r="B30" s="182" t="s">
        <v>349</v>
      </c>
      <c r="C30" s="183" t="s">
        <v>351</v>
      </c>
      <c r="D30" s="9" t="s">
        <v>309</v>
      </c>
      <c r="E30" s="19"/>
      <c r="F30" s="17"/>
      <c r="G30" s="17"/>
      <c r="H30" s="16"/>
      <c r="I30" s="16"/>
      <c r="J30" s="16"/>
      <c r="K30" s="16"/>
      <c r="L30" s="54">
        <f t="shared" si="4"/>
        <v>0</v>
      </c>
      <c r="M30" s="11"/>
      <c r="N30" s="11"/>
      <c r="O30" s="11"/>
      <c r="P30" s="23">
        <v>-1000</v>
      </c>
      <c r="Q30" s="22"/>
      <c r="R30" s="23" t="s">
        <v>353</v>
      </c>
      <c r="S30" s="184" t="str">
        <f t="shared" si="5"/>
        <v>Unfilled fields on left</v>
      </c>
      <c r="T30" s="7"/>
      <c r="U30" s="17"/>
      <c r="V30" s="4"/>
    </row>
    <row r="31" spans="2:22">
      <c r="B31" s="182" t="s">
        <v>323</v>
      </c>
      <c r="C31" s="183" t="s">
        <v>324</v>
      </c>
      <c r="D31" s="9" t="s">
        <v>309</v>
      </c>
      <c r="E31" s="19"/>
      <c r="F31" s="17"/>
      <c r="G31" s="17"/>
      <c r="H31" s="16"/>
      <c r="I31" s="16"/>
      <c r="J31" s="16"/>
      <c r="K31" s="16"/>
      <c r="L31" s="54">
        <f t="shared" si="4"/>
        <v>0</v>
      </c>
      <c r="M31" s="11"/>
      <c r="N31" s="11"/>
      <c r="O31" s="11"/>
      <c r="P31" s="23">
        <v>28000</v>
      </c>
      <c r="Q31" s="22"/>
      <c r="R31" s="23" t="s">
        <v>328</v>
      </c>
      <c r="S31" s="184" t="str">
        <f t="shared" si="5"/>
        <v>Unfilled fields on left</v>
      </c>
      <c r="T31" s="7"/>
      <c r="U31" s="17"/>
      <c r="V31" s="4"/>
    </row>
    <row r="32" spans="2:22">
      <c r="B32" s="182" t="s">
        <v>323</v>
      </c>
      <c r="C32" s="183" t="s">
        <v>325</v>
      </c>
      <c r="D32" s="9" t="s">
        <v>309</v>
      </c>
      <c r="E32" s="19"/>
      <c r="F32" s="17"/>
      <c r="G32" s="17"/>
      <c r="H32" s="16"/>
      <c r="I32" s="16"/>
      <c r="J32" s="16"/>
      <c r="K32" s="16"/>
      <c r="L32" s="54">
        <f t="shared" si="4"/>
        <v>0</v>
      </c>
      <c r="M32" s="11"/>
      <c r="N32" s="11"/>
      <c r="O32" s="11"/>
      <c r="P32" s="23">
        <v>265000</v>
      </c>
      <c r="Q32" s="22"/>
      <c r="R32" s="23" t="s">
        <v>328</v>
      </c>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168</v>
      </c>
      <c r="S35" s="187">
        <f>SUM(S4:S34)</f>
        <v>0</v>
      </c>
      <c r="V35" s="4"/>
    </row>
    <row r="36" spans="2:22">
      <c r="B36" s="181" t="s">
        <v>329</v>
      </c>
      <c r="C36" s="177"/>
      <c r="D36" s="177"/>
      <c r="E36" s="177"/>
      <c r="M36" s="4"/>
      <c r="V36" s="4"/>
    </row>
    <row r="37" spans="2:22">
      <c r="B37" s="10" t="s">
        <v>330</v>
      </c>
      <c r="C37" s="9" t="s">
        <v>331</v>
      </c>
      <c r="D37" s="9" t="s">
        <v>169</v>
      </c>
      <c r="E37" s="10"/>
      <c r="M37" s="1"/>
      <c r="V37" s="1"/>
    </row>
    <row r="38" spans="2:22">
      <c r="B38" s="10" t="s">
        <v>335</v>
      </c>
      <c r="C38" s="9" t="s">
        <v>336</v>
      </c>
      <c r="D38" s="9" t="s">
        <v>337</v>
      </c>
      <c r="E38" s="10"/>
      <c r="M38" s="1"/>
      <c r="V38" s="1"/>
    </row>
    <row r="39" spans="2:22">
      <c r="B39" s="10" t="s">
        <v>338</v>
      </c>
      <c r="C39" s="9" t="s">
        <v>339</v>
      </c>
      <c r="D39" s="9" t="s">
        <v>337</v>
      </c>
      <c r="E39" s="10"/>
      <c r="M39" s="1"/>
      <c r="V39" s="1"/>
    </row>
    <row r="40" spans="2:22">
      <c r="B40" s="10"/>
      <c r="C40" s="10"/>
      <c r="D40" s="10"/>
      <c r="E40" s="10"/>
      <c r="M40" s="1"/>
      <c r="V40" s="1"/>
    </row>
  </sheetData>
  <sheetProtection formatColumns="0" formatRows="0" insertRows="0" deleteRows="0"/>
  <dataValidations count="1">
    <dataValidation type="list" allowBlank="1" showInputMessage="1" showErrorMessage="1" sqref="D5:D14 D17:D33" xr:uid="{229CD3C3-50D1-42C0-B331-23DF1EE5B4DC}">
      <formula1>"tonnes/yr, MWh/yr (LHV)"</formula1>
    </dataValidation>
  </dataValidations>
  <pageMargins left="0.70000000000000007" right="0.70000000000000007" top="0.75" bottom="0.75" header="0.30000000000000004" footer="0.30000000000000004"/>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B2:V40"/>
  <sheetViews>
    <sheetView showGridLines="0" zoomScaleNormal="100" workbookViewId="0"/>
  </sheetViews>
  <sheetFormatPr defaultColWidth="7.21875" defaultRowHeight="14.4"/>
  <cols>
    <col min="1" max="1" width="5.21875" style="4" customWidth="1"/>
    <col min="2" max="2" width="25" style="4" bestFit="1" customWidth="1"/>
    <col min="3" max="3" width="39" style="4" customWidth="1"/>
    <col min="4" max="4" width="13.44140625" style="4" customWidth="1"/>
    <col min="5" max="5" width="15.33203125" style="6" customWidth="1"/>
    <col min="6" max="6" width="20.88671875" style="4" customWidth="1"/>
    <col min="7" max="7" width="17" style="4" customWidth="1"/>
    <col min="8" max="8" width="12.77734375" style="5" customWidth="1"/>
    <col min="9" max="9" width="17.44140625" style="5" customWidth="1"/>
    <col min="10" max="11" width="14.21875" style="5" customWidth="1"/>
    <col min="12" max="12" width="14" style="5" customWidth="1"/>
    <col min="13" max="13" width="7.21875" style="1"/>
    <col min="14" max="14" width="18.77734375" style="4" customWidth="1"/>
    <col min="15" max="15" width="17.5546875" style="4" customWidth="1"/>
    <col min="16" max="17" width="20.77734375" style="5" customWidth="1"/>
    <col min="18" max="18" width="16.21875" style="5" customWidth="1"/>
    <col min="19" max="19" width="20.21875" style="48" customWidth="1"/>
    <col min="20" max="20" width="7.21875" style="4" customWidth="1"/>
    <col min="21" max="21" width="21.33203125" style="4" customWidth="1"/>
    <col min="22" max="22" width="7.21875" style="1"/>
    <col min="23" max="16384" width="7.21875" style="4"/>
  </cols>
  <sheetData>
    <row r="2" spans="2:22" ht="87" thickBot="1">
      <c r="B2" s="3" t="s">
        <v>170</v>
      </c>
      <c r="C2" s="3" t="s">
        <v>171</v>
      </c>
      <c r="D2" s="3" t="s">
        <v>8</v>
      </c>
      <c r="E2" s="8" t="s">
        <v>172</v>
      </c>
      <c r="F2" s="38" t="s">
        <v>297</v>
      </c>
      <c r="G2" s="38" t="s">
        <v>298</v>
      </c>
      <c r="H2" s="38" t="s">
        <v>173</v>
      </c>
      <c r="I2" s="38" t="s">
        <v>299</v>
      </c>
      <c r="J2" s="38" t="s">
        <v>300</v>
      </c>
      <c r="K2" s="38" t="s">
        <v>301</v>
      </c>
      <c r="L2" s="38" t="s">
        <v>302</v>
      </c>
      <c r="M2" s="38"/>
      <c r="N2" s="39" t="s">
        <v>311</v>
      </c>
      <c r="O2" s="39" t="s">
        <v>312</v>
      </c>
      <c r="P2" s="38" t="s">
        <v>313</v>
      </c>
      <c r="Q2" s="38" t="s">
        <v>314</v>
      </c>
      <c r="R2" s="38" t="s">
        <v>174</v>
      </c>
      <c r="S2" s="47" t="s">
        <v>315</v>
      </c>
      <c r="T2" s="47"/>
      <c r="U2" s="38" t="s">
        <v>175</v>
      </c>
    </row>
    <row r="3" spans="2:22" ht="15" thickTop="1"/>
    <row r="4" spans="2:22">
      <c r="B4" s="181" t="s">
        <v>176</v>
      </c>
      <c r="C4" s="177"/>
      <c r="D4" s="177"/>
      <c r="E4" s="178"/>
      <c r="F4" s="177"/>
      <c r="G4" s="179"/>
      <c r="H4" s="180"/>
      <c r="I4" s="180"/>
      <c r="J4" s="180"/>
      <c r="K4" s="180"/>
      <c r="L4" s="180"/>
      <c r="N4" s="11"/>
      <c r="P4" s="14"/>
      <c r="Q4" s="14"/>
      <c r="R4" s="14"/>
      <c r="S4" s="49"/>
      <c r="U4" s="11"/>
      <c r="V4" s="4"/>
    </row>
    <row r="5" spans="2:22" s="11" customFormat="1">
      <c r="B5" s="10" t="s">
        <v>177</v>
      </c>
      <c r="C5" s="183" t="s">
        <v>193</v>
      </c>
      <c r="D5" s="9" t="s">
        <v>309</v>
      </c>
      <c r="E5" s="43"/>
      <c r="F5" s="17"/>
      <c r="G5" s="17"/>
      <c r="H5" s="16"/>
      <c r="I5" s="16" t="s">
        <v>185</v>
      </c>
      <c r="J5" s="42"/>
      <c r="K5" s="16"/>
      <c r="L5" s="54">
        <f>IF($D5="MWh/yr (LHV)",$E5,$J5*$E5/3.6)</f>
        <v>0</v>
      </c>
      <c r="P5" s="42" t="str">
        <f>IF(B5="", "", IF(D5="MWh/yr (LHV)", "Use column to right", "Enter data here"))</f>
        <v>Enter data here</v>
      </c>
      <c r="Q5" s="42" t="str">
        <f>IF(B5="", "", IF(D5="MWh/yr (LHV)", "Enter data here", "Use column to left"))</f>
        <v>Use column to left</v>
      </c>
      <c r="R5" s="23" t="s">
        <v>362</v>
      </c>
      <c r="S5" s="184" t="str">
        <f>IFERROR(IF(D5="tonnes/yr", $P5*$E5/($L$17*3.6), $Q5*$E5*3.6/($L$17*3.6)), "Unfilled fields on left")</f>
        <v>Unfilled fields on left</v>
      </c>
      <c r="U5" s="23"/>
    </row>
    <row r="6" spans="2:22" s="11" customFormat="1">
      <c r="B6" s="182" t="s">
        <v>179</v>
      </c>
      <c r="C6" s="183" t="s">
        <v>180</v>
      </c>
      <c r="D6" s="9" t="s">
        <v>310</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362</v>
      </c>
      <c r="S6" s="184" t="str">
        <f t="shared" ref="S6:S14" si="3">IFERROR(IF(D6="tonnes/yr", $P6*$E6/($L$17*3.6), $Q6*$E6*3.6/($L$17*3.6)), "Unfilled fields on left")</f>
        <v>Unfilled fields on left</v>
      </c>
      <c r="U6" s="17"/>
    </row>
    <row r="7" spans="2:22">
      <c r="B7" s="182" t="s">
        <v>179</v>
      </c>
      <c r="C7" s="183" t="s">
        <v>187</v>
      </c>
      <c r="D7" s="9" t="s">
        <v>310</v>
      </c>
      <c r="E7" s="18"/>
      <c r="F7" s="17"/>
      <c r="G7" s="17"/>
      <c r="H7" s="16"/>
      <c r="I7" s="16"/>
      <c r="J7" s="16"/>
      <c r="K7" s="16"/>
      <c r="L7" s="54">
        <f t="shared" si="0"/>
        <v>0</v>
      </c>
      <c r="M7" s="11"/>
      <c r="N7" s="11"/>
      <c r="O7" s="11"/>
      <c r="P7" s="42" t="str">
        <f t="shared" si="1"/>
        <v>Use column to right</v>
      </c>
      <c r="Q7" s="42" t="str">
        <f t="shared" si="2"/>
        <v>Enter data here</v>
      </c>
      <c r="R7" s="23" t="s">
        <v>362</v>
      </c>
      <c r="S7" s="184" t="str">
        <f t="shared" si="3"/>
        <v>Unfilled fields on left</v>
      </c>
      <c r="U7" s="17"/>
      <c r="V7" s="4"/>
    </row>
    <row r="8" spans="2:22" s="7" customFormat="1">
      <c r="B8" s="182" t="s">
        <v>179</v>
      </c>
      <c r="C8" s="183" t="s">
        <v>182</v>
      </c>
      <c r="D8" s="9" t="s">
        <v>309</v>
      </c>
      <c r="E8" s="19"/>
      <c r="F8" s="17"/>
      <c r="G8" s="17"/>
      <c r="H8" s="16"/>
      <c r="I8" s="16"/>
      <c r="J8" s="16"/>
      <c r="K8" s="16"/>
      <c r="L8" s="54">
        <f t="shared" si="0"/>
        <v>0</v>
      </c>
      <c r="M8" s="11"/>
      <c r="N8" s="11"/>
      <c r="O8" s="11"/>
      <c r="P8" s="42" t="str">
        <f t="shared" si="1"/>
        <v>Enter data here</v>
      </c>
      <c r="Q8" s="42" t="str">
        <f t="shared" si="2"/>
        <v>Use column to left</v>
      </c>
      <c r="R8" s="23" t="s">
        <v>362</v>
      </c>
      <c r="S8" s="184" t="str">
        <f t="shared" si="3"/>
        <v>Unfilled fields on left</v>
      </c>
      <c r="U8" s="24"/>
    </row>
    <row r="9" spans="2:22" s="7" customFormat="1">
      <c r="B9" s="182" t="s">
        <v>179</v>
      </c>
      <c r="C9" s="183" t="s">
        <v>304</v>
      </c>
      <c r="D9" s="9" t="s">
        <v>309</v>
      </c>
      <c r="E9" s="19"/>
      <c r="F9" s="17"/>
      <c r="G9" s="17"/>
      <c r="H9" s="16"/>
      <c r="I9" s="16"/>
      <c r="J9" s="16"/>
      <c r="K9" s="16"/>
      <c r="L9" s="54">
        <f t="shared" si="0"/>
        <v>0</v>
      </c>
      <c r="M9" s="11"/>
      <c r="N9" s="11"/>
      <c r="O9" s="11"/>
      <c r="P9" s="42" t="str">
        <f t="shared" si="1"/>
        <v>Enter data here</v>
      </c>
      <c r="Q9" s="42" t="str">
        <f t="shared" si="2"/>
        <v>Use column to left</v>
      </c>
      <c r="R9" s="23" t="s">
        <v>362</v>
      </c>
      <c r="S9" s="184" t="str">
        <f t="shared" si="3"/>
        <v>Unfilled fields on left</v>
      </c>
      <c r="U9" s="24"/>
    </row>
    <row r="10" spans="2:22">
      <c r="B10" s="182" t="s">
        <v>191</v>
      </c>
      <c r="C10" s="183" t="s">
        <v>192</v>
      </c>
      <c r="D10" s="9" t="s">
        <v>309</v>
      </c>
      <c r="E10" s="19"/>
      <c r="F10" s="17"/>
      <c r="G10" s="17"/>
      <c r="H10" s="16"/>
      <c r="I10" s="16"/>
      <c r="J10" s="16"/>
      <c r="K10" s="16"/>
      <c r="L10" s="54">
        <f t="shared" si="0"/>
        <v>0</v>
      </c>
      <c r="M10" s="11"/>
      <c r="N10" s="11"/>
      <c r="O10" s="11"/>
      <c r="P10" s="42" t="str">
        <f t="shared" si="1"/>
        <v>Enter data here</v>
      </c>
      <c r="Q10" s="42" t="str">
        <f t="shared" si="2"/>
        <v>Use column to left</v>
      </c>
      <c r="R10" s="23" t="s">
        <v>362</v>
      </c>
      <c r="S10" s="184" t="str">
        <f t="shared" si="3"/>
        <v>Unfilled fields on left</v>
      </c>
      <c r="U10" s="24"/>
      <c r="V10" s="4"/>
    </row>
    <row r="11" spans="2:22">
      <c r="B11" s="182" t="s">
        <v>191</v>
      </c>
      <c r="C11" s="183" t="s">
        <v>305</v>
      </c>
      <c r="D11" s="9" t="s">
        <v>309</v>
      </c>
      <c r="E11" s="19"/>
      <c r="F11" s="17"/>
      <c r="G11" s="17"/>
      <c r="H11" s="16"/>
      <c r="I11" s="16"/>
      <c r="J11" s="16"/>
      <c r="K11" s="16"/>
      <c r="L11" s="54">
        <f t="shared" si="0"/>
        <v>0</v>
      </c>
      <c r="M11" s="11"/>
      <c r="N11" s="11"/>
      <c r="O11" s="11"/>
      <c r="P11" s="42" t="str">
        <f t="shared" si="1"/>
        <v>Enter data here</v>
      </c>
      <c r="Q11" s="42" t="str">
        <f t="shared" si="2"/>
        <v>Use column to left</v>
      </c>
      <c r="R11" s="23" t="s">
        <v>362</v>
      </c>
      <c r="S11" s="184" t="str">
        <f t="shared" si="3"/>
        <v>Unfilled fields on left</v>
      </c>
      <c r="U11" s="24"/>
      <c r="V11" s="4"/>
    </row>
    <row r="12" spans="2:22">
      <c r="B12" s="182" t="s">
        <v>308</v>
      </c>
      <c r="C12" s="183" t="s">
        <v>306</v>
      </c>
      <c r="D12" s="9" t="s">
        <v>309</v>
      </c>
      <c r="E12" s="19"/>
      <c r="F12" s="17"/>
      <c r="G12" s="17"/>
      <c r="H12" s="16"/>
      <c r="I12" s="16"/>
      <c r="J12" s="16"/>
      <c r="K12" s="16"/>
      <c r="L12" s="54">
        <f t="shared" si="0"/>
        <v>0</v>
      </c>
      <c r="M12" s="11"/>
      <c r="N12" s="11"/>
      <c r="O12" s="11"/>
      <c r="P12" s="42" t="str">
        <f t="shared" si="1"/>
        <v>Enter data here</v>
      </c>
      <c r="Q12" s="42" t="str">
        <f t="shared" si="2"/>
        <v>Use column to left</v>
      </c>
      <c r="R12" s="23" t="s">
        <v>362</v>
      </c>
      <c r="S12" s="184" t="str">
        <f t="shared" si="3"/>
        <v>Unfilled fields on left</v>
      </c>
      <c r="U12" s="24"/>
      <c r="V12" s="4"/>
    </row>
    <row r="13" spans="2:22">
      <c r="B13" s="182" t="s">
        <v>308</v>
      </c>
      <c r="C13" s="183" t="s">
        <v>307</v>
      </c>
      <c r="D13" s="9" t="s">
        <v>309</v>
      </c>
      <c r="E13" s="19"/>
      <c r="F13" s="17"/>
      <c r="G13" s="17"/>
      <c r="H13" s="16"/>
      <c r="I13" s="16"/>
      <c r="J13" s="16"/>
      <c r="K13" s="16"/>
      <c r="L13" s="54">
        <f t="shared" si="0"/>
        <v>0</v>
      </c>
      <c r="M13" s="11"/>
      <c r="N13" s="11"/>
      <c r="O13" s="11"/>
      <c r="P13" s="42" t="str">
        <f t="shared" si="1"/>
        <v>Enter data here</v>
      </c>
      <c r="Q13" s="42" t="str">
        <f t="shared" si="2"/>
        <v>Use column to left</v>
      </c>
      <c r="R13" s="23" t="s">
        <v>362</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362</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183</v>
      </c>
      <c r="C16" s="177"/>
      <c r="D16" s="177"/>
      <c r="E16" s="178"/>
      <c r="F16" s="177"/>
      <c r="G16" s="179"/>
      <c r="H16" s="180"/>
      <c r="I16" s="180"/>
      <c r="J16" s="180"/>
      <c r="K16" s="180"/>
      <c r="L16" s="180"/>
      <c r="M16" s="41"/>
      <c r="N16" s="15"/>
      <c r="O16" s="11"/>
      <c r="P16" s="22"/>
      <c r="Q16" s="22"/>
      <c r="R16" s="22"/>
      <c r="S16" s="186"/>
      <c r="U16" s="27"/>
      <c r="V16" s="4"/>
    </row>
    <row r="17" spans="2:22" s="11" customFormat="1">
      <c r="B17" s="10" t="s">
        <v>184</v>
      </c>
      <c r="C17" s="183" t="s">
        <v>193</v>
      </c>
      <c r="D17" s="9" t="s">
        <v>309</v>
      </c>
      <c r="E17" s="44"/>
      <c r="F17" s="17"/>
      <c r="G17" s="17"/>
      <c r="H17" s="17"/>
      <c r="I17" s="17" t="s">
        <v>185</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188</v>
      </c>
      <c r="C18" s="183" t="s">
        <v>317</v>
      </c>
      <c r="D18" s="9" t="s">
        <v>309</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188</v>
      </c>
      <c r="C19" s="183" t="s">
        <v>318</v>
      </c>
      <c r="D19" s="9" t="s">
        <v>309</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186</v>
      </c>
      <c r="C20" s="183" t="s">
        <v>319</v>
      </c>
      <c r="D20" s="9" t="s">
        <v>309</v>
      </c>
      <c r="E20" s="19"/>
      <c r="F20" s="17"/>
      <c r="G20" s="17"/>
      <c r="H20" s="16"/>
      <c r="I20" s="16"/>
      <c r="J20" s="16"/>
      <c r="K20" s="16"/>
      <c r="L20" s="54">
        <f t="shared" si="4"/>
        <v>0</v>
      </c>
      <c r="M20" s="11"/>
      <c r="N20" s="11"/>
      <c r="O20" s="11"/>
      <c r="P20" s="22"/>
      <c r="Q20" s="22"/>
      <c r="R20" s="22"/>
      <c r="S20" s="22"/>
      <c r="U20" s="17"/>
    </row>
    <row r="21" spans="2:22" s="7" customFormat="1">
      <c r="B21" s="182" t="s">
        <v>186</v>
      </c>
      <c r="C21" s="183" t="s">
        <v>355</v>
      </c>
      <c r="D21" s="9" t="s">
        <v>309</v>
      </c>
      <c r="E21" s="19"/>
      <c r="F21" s="17"/>
      <c r="G21" s="17"/>
      <c r="H21" s="16"/>
      <c r="I21" s="16"/>
      <c r="J21" s="16"/>
      <c r="K21" s="16"/>
      <c r="L21" s="54">
        <f t="shared" si="4"/>
        <v>0</v>
      </c>
      <c r="M21" s="11"/>
      <c r="N21" s="11"/>
      <c r="O21" s="11"/>
      <c r="P21" s="22"/>
      <c r="Q21" s="22"/>
      <c r="R21" s="22"/>
      <c r="S21" s="22"/>
      <c r="U21" s="17"/>
    </row>
    <row r="22" spans="2:22" s="7" customFormat="1">
      <c r="B22" s="182" t="s">
        <v>189</v>
      </c>
      <c r="C22" s="183" t="s">
        <v>320</v>
      </c>
      <c r="D22" s="9" t="s">
        <v>309</v>
      </c>
      <c r="E22" s="44"/>
      <c r="F22" s="17"/>
      <c r="G22" s="17"/>
      <c r="H22" s="16"/>
      <c r="I22" s="45"/>
      <c r="J22" s="42"/>
      <c r="K22" s="16"/>
      <c r="L22" s="54">
        <f t="shared" si="4"/>
        <v>0</v>
      </c>
      <c r="M22" s="11"/>
      <c r="N22" s="11"/>
      <c r="O22" s="11"/>
      <c r="P22" s="22"/>
      <c r="Q22" s="22"/>
      <c r="R22" s="22"/>
      <c r="S22" s="22"/>
      <c r="U22" s="17"/>
    </row>
    <row r="23" spans="2:22" s="7" customFormat="1">
      <c r="B23" s="182" t="s">
        <v>189</v>
      </c>
      <c r="C23" s="183" t="s">
        <v>190</v>
      </c>
      <c r="D23" s="9" t="s">
        <v>309</v>
      </c>
      <c r="E23" s="19"/>
      <c r="F23" s="17"/>
      <c r="G23" s="17"/>
      <c r="H23" s="16"/>
      <c r="I23" s="16"/>
      <c r="J23" s="16"/>
      <c r="K23" s="16"/>
      <c r="L23" s="54">
        <f t="shared" si="4"/>
        <v>0</v>
      </c>
      <c r="M23" s="11"/>
      <c r="N23" s="11"/>
      <c r="O23" s="11"/>
      <c r="P23" s="22"/>
      <c r="Q23" s="22"/>
      <c r="R23" s="22"/>
      <c r="S23" s="22"/>
      <c r="U23" s="17"/>
    </row>
    <row r="24" spans="2:22" s="7" customFormat="1">
      <c r="B24" s="182" t="s">
        <v>321</v>
      </c>
      <c r="C24" s="183" t="s">
        <v>322</v>
      </c>
      <c r="D24" s="9" t="s">
        <v>309</v>
      </c>
      <c r="E24" s="19"/>
      <c r="F24" s="17"/>
      <c r="G24" s="17"/>
      <c r="H24" s="16"/>
      <c r="I24" s="16"/>
      <c r="J24" s="16"/>
      <c r="K24" s="16"/>
      <c r="L24" s="54">
        <f t="shared" si="4"/>
        <v>0</v>
      </c>
      <c r="M24" s="11"/>
      <c r="N24" s="11"/>
      <c r="O24" s="11"/>
      <c r="P24" s="23">
        <v>1000</v>
      </c>
      <c r="Q24" s="22"/>
      <c r="R24" s="23" t="s">
        <v>327</v>
      </c>
      <c r="S24" s="184" t="str">
        <f>IFERROR(IF(D24="tonnes/yr", $P24*$E24/($L$17*3.6), $Q24*$E24*3.6/($L$17*3.6)), "Unfilled fields on left")</f>
        <v>Unfilled fields on left</v>
      </c>
      <c r="U24" s="17"/>
    </row>
    <row r="25" spans="2:22" s="7" customFormat="1">
      <c r="B25" s="182" t="s">
        <v>323</v>
      </c>
      <c r="C25" s="183" t="s">
        <v>324</v>
      </c>
      <c r="D25" s="9" t="s">
        <v>309</v>
      </c>
      <c r="E25" s="19"/>
      <c r="F25" s="17"/>
      <c r="G25" s="17"/>
      <c r="H25" s="16"/>
      <c r="I25" s="16"/>
      <c r="J25" s="16"/>
      <c r="K25" s="16"/>
      <c r="L25" s="54">
        <f t="shared" si="4"/>
        <v>0</v>
      </c>
      <c r="M25" s="11"/>
      <c r="N25" s="11"/>
      <c r="O25" s="11"/>
      <c r="P25" s="23">
        <v>28000</v>
      </c>
      <c r="Q25" s="22"/>
      <c r="R25" s="23" t="s">
        <v>328</v>
      </c>
      <c r="S25" s="184" t="str">
        <f>IFERROR(IF(D25="tonnes/yr", $P25*$E25/($L$17*3.6), $Q25*$E25*3.6/($L$17*3.6)), "Unfilled fields on left")</f>
        <v>Unfilled fields on left</v>
      </c>
      <c r="U25" s="17"/>
    </row>
    <row r="26" spans="2:22" s="7" customFormat="1">
      <c r="B26" s="182" t="s">
        <v>323</v>
      </c>
      <c r="C26" s="183" t="s">
        <v>325</v>
      </c>
      <c r="D26" s="9" t="s">
        <v>309</v>
      </c>
      <c r="E26" s="19"/>
      <c r="F26" s="17"/>
      <c r="G26" s="17"/>
      <c r="H26" s="16"/>
      <c r="I26" s="16"/>
      <c r="J26" s="16"/>
      <c r="K26" s="16"/>
      <c r="L26" s="54">
        <f t="shared" si="4"/>
        <v>0</v>
      </c>
      <c r="M26" s="11"/>
      <c r="N26" s="11"/>
      <c r="O26" s="11"/>
      <c r="P26" s="23">
        <v>265000</v>
      </c>
      <c r="Q26" s="22"/>
      <c r="R26" s="23" t="s">
        <v>328</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168</v>
      </c>
      <c r="S35" s="187">
        <f>SUM(S4:S34)</f>
        <v>0</v>
      </c>
      <c r="V35" s="4"/>
    </row>
    <row r="36" spans="2:22">
      <c r="B36" s="181" t="s">
        <v>329</v>
      </c>
      <c r="C36" s="177"/>
      <c r="D36" s="177"/>
      <c r="E36" s="177"/>
      <c r="M36" s="4"/>
      <c r="V36" s="4"/>
    </row>
    <row r="37" spans="2:22">
      <c r="B37" s="10" t="s">
        <v>330</v>
      </c>
      <c r="C37" s="9" t="s">
        <v>331</v>
      </c>
      <c r="D37" s="9" t="s">
        <v>169</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C7C3EE57-5175-47BE-B711-751375A9BB62}">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B2:V40"/>
  <sheetViews>
    <sheetView showGridLines="0" zoomScaleNormal="100" workbookViewId="0"/>
  </sheetViews>
  <sheetFormatPr defaultColWidth="7.21875" defaultRowHeight="14.4"/>
  <cols>
    <col min="1" max="1" width="5.21875" style="4" customWidth="1"/>
    <col min="2" max="2" width="25" style="4" bestFit="1" customWidth="1"/>
    <col min="3" max="3" width="39" style="4" bestFit="1" customWidth="1"/>
    <col min="4" max="4" width="13.44140625" style="4" customWidth="1"/>
    <col min="5" max="5" width="15.33203125" style="6" customWidth="1"/>
    <col min="6" max="6" width="20.88671875" style="4" customWidth="1"/>
    <col min="7" max="7" width="17" style="4" customWidth="1"/>
    <col min="8" max="8" width="12.77734375" style="5" customWidth="1"/>
    <col min="9" max="9" width="17.44140625" style="5" customWidth="1"/>
    <col min="10" max="11" width="14.21875" style="5" customWidth="1"/>
    <col min="12" max="12" width="14" style="5" customWidth="1"/>
    <col min="13" max="13" width="7.21875" style="1"/>
    <col min="14" max="14" width="18.77734375" style="4" customWidth="1"/>
    <col min="15" max="15" width="17.5546875" style="4" customWidth="1"/>
    <col min="16" max="17" width="20.77734375" style="5" customWidth="1"/>
    <col min="18" max="18" width="16.21875" style="5" customWidth="1"/>
    <col min="19" max="19" width="20.21875" style="48" customWidth="1"/>
    <col min="20" max="20" width="7.21875" style="4" customWidth="1"/>
    <col min="21" max="21" width="21.33203125" style="4" customWidth="1"/>
    <col min="22" max="22" width="7.21875" style="1"/>
    <col min="23" max="16384" width="7.21875" style="4"/>
  </cols>
  <sheetData>
    <row r="2" spans="2:22" ht="87" thickBot="1">
      <c r="B2" s="3" t="s">
        <v>170</v>
      </c>
      <c r="C2" s="3" t="s">
        <v>171</v>
      </c>
      <c r="D2" s="3" t="s">
        <v>8</v>
      </c>
      <c r="E2" s="8" t="s">
        <v>172</v>
      </c>
      <c r="F2" s="38" t="s">
        <v>297</v>
      </c>
      <c r="G2" s="38" t="s">
        <v>298</v>
      </c>
      <c r="H2" s="38" t="s">
        <v>173</v>
      </c>
      <c r="I2" s="38" t="s">
        <v>299</v>
      </c>
      <c r="J2" s="38" t="s">
        <v>300</v>
      </c>
      <c r="K2" s="38" t="s">
        <v>301</v>
      </c>
      <c r="L2" s="38" t="s">
        <v>302</v>
      </c>
      <c r="M2" s="38"/>
      <c r="N2" s="39" t="s">
        <v>311</v>
      </c>
      <c r="O2" s="39" t="s">
        <v>312</v>
      </c>
      <c r="P2" s="38" t="s">
        <v>313</v>
      </c>
      <c r="Q2" s="38" t="s">
        <v>314</v>
      </c>
      <c r="R2" s="38" t="s">
        <v>174</v>
      </c>
      <c r="S2" s="47" t="s">
        <v>315</v>
      </c>
      <c r="T2" s="47"/>
      <c r="U2" s="38" t="s">
        <v>175</v>
      </c>
    </row>
    <row r="3" spans="2:22" ht="15" thickTop="1"/>
    <row r="4" spans="2:22">
      <c r="B4" s="181" t="s">
        <v>176</v>
      </c>
      <c r="C4" s="177"/>
      <c r="D4" s="177"/>
      <c r="E4" s="178"/>
      <c r="F4" s="177"/>
      <c r="G4" s="179"/>
      <c r="H4" s="180"/>
      <c r="I4" s="180"/>
      <c r="J4" s="180"/>
      <c r="K4" s="180"/>
      <c r="L4" s="180"/>
      <c r="N4" s="11"/>
      <c r="P4" s="14"/>
      <c r="Q4" s="14"/>
      <c r="R4" s="14"/>
      <c r="S4" s="49"/>
      <c r="U4" s="11"/>
      <c r="V4" s="4"/>
    </row>
    <row r="5" spans="2:22" s="11" customFormat="1">
      <c r="B5" s="10" t="s">
        <v>177</v>
      </c>
      <c r="C5" s="183" t="s">
        <v>193</v>
      </c>
      <c r="D5" s="9" t="s">
        <v>309</v>
      </c>
      <c r="E5" s="43"/>
      <c r="F5" s="17"/>
      <c r="G5" s="17"/>
      <c r="H5" s="16"/>
      <c r="I5" s="16" t="s">
        <v>185</v>
      </c>
      <c r="J5" s="42"/>
      <c r="K5" s="16"/>
      <c r="L5" s="54">
        <f>IF($D5="MWh/yr (LHV)",$E5,$J5*$E5/3.6)</f>
        <v>0</v>
      </c>
      <c r="P5" s="42" t="str">
        <f>IF(B5="", "", IF(D5="MWh/yr (LHV)", "Use column to right", "Enter data here"))</f>
        <v>Enter data here</v>
      </c>
      <c r="Q5" s="42" t="str">
        <f>IF(B5="", "", IF(D5="MWh/yr (LHV)", "Enter data here", "Use column to left"))</f>
        <v>Use column to left</v>
      </c>
      <c r="R5" s="23" t="s">
        <v>362</v>
      </c>
      <c r="S5" s="184" t="str">
        <f>IFERROR(IF(D5="tonnes/yr", $P5*$E5/($L$17*3.6), $Q5*$E5*3.6/($L$17*3.6)), "Unfilled fields on left")</f>
        <v>Unfilled fields on left</v>
      </c>
      <c r="U5" s="23"/>
    </row>
    <row r="6" spans="2:22" s="11" customFormat="1">
      <c r="B6" s="182" t="s">
        <v>179</v>
      </c>
      <c r="C6" s="183" t="s">
        <v>180</v>
      </c>
      <c r="D6" s="9" t="s">
        <v>310</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362</v>
      </c>
      <c r="S6" s="184" t="str">
        <f t="shared" ref="S6:S14" si="3">IFERROR(IF(D6="tonnes/yr", $P6*$E6/($L$17*3.6), $Q6*$E6*3.6/($L$17*3.6)), "Unfilled fields on left")</f>
        <v>Unfilled fields on left</v>
      </c>
      <c r="U6" s="17"/>
    </row>
    <row r="7" spans="2:22">
      <c r="B7" s="182" t="s">
        <v>179</v>
      </c>
      <c r="C7" s="183" t="s">
        <v>187</v>
      </c>
      <c r="D7" s="9" t="s">
        <v>310</v>
      </c>
      <c r="E7" s="18"/>
      <c r="F7" s="17"/>
      <c r="G7" s="17"/>
      <c r="H7" s="16"/>
      <c r="I7" s="16"/>
      <c r="J7" s="16"/>
      <c r="K7" s="16"/>
      <c r="L7" s="54">
        <f t="shared" si="0"/>
        <v>0</v>
      </c>
      <c r="M7" s="11"/>
      <c r="N7" s="11"/>
      <c r="O7" s="11"/>
      <c r="P7" s="42" t="str">
        <f t="shared" si="1"/>
        <v>Use column to right</v>
      </c>
      <c r="Q7" s="42" t="str">
        <f t="shared" si="2"/>
        <v>Enter data here</v>
      </c>
      <c r="R7" s="23" t="s">
        <v>362</v>
      </c>
      <c r="S7" s="184" t="str">
        <f t="shared" si="3"/>
        <v>Unfilled fields on left</v>
      </c>
      <c r="U7" s="17"/>
      <c r="V7" s="4"/>
    </row>
    <row r="8" spans="2:22" s="7" customFormat="1">
      <c r="B8" s="182" t="s">
        <v>179</v>
      </c>
      <c r="C8" s="183" t="s">
        <v>182</v>
      </c>
      <c r="D8" s="9" t="s">
        <v>309</v>
      </c>
      <c r="E8" s="19"/>
      <c r="F8" s="17"/>
      <c r="G8" s="17"/>
      <c r="H8" s="16"/>
      <c r="I8" s="16"/>
      <c r="J8" s="16"/>
      <c r="K8" s="16"/>
      <c r="L8" s="54">
        <f t="shared" si="0"/>
        <v>0</v>
      </c>
      <c r="M8" s="11"/>
      <c r="N8" s="11"/>
      <c r="O8" s="11"/>
      <c r="P8" s="42" t="str">
        <f t="shared" si="1"/>
        <v>Enter data here</v>
      </c>
      <c r="Q8" s="42" t="str">
        <f t="shared" si="2"/>
        <v>Use column to left</v>
      </c>
      <c r="R8" s="23" t="s">
        <v>362</v>
      </c>
      <c r="S8" s="184" t="str">
        <f t="shared" si="3"/>
        <v>Unfilled fields on left</v>
      </c>
      <c r="U8" s="24"/>
    </row>
    <row r="9" spans="2:22" s="7" customFormat="1">
      <c r="B9" s="182" t="s">
        <v>179</v>
      </c>
      <c r="C9" s="183" t="s">
        <v>304</v>
      </c>
      <c r="D9" s="9" t="s">
        <v>309</v>
      </c>
      <c r="E9" s="19"/>
      <c r="F9" s="17"/>
      <c r="G9" s="17"/>
      <c r="H9" s="16"/>
      <c r="I9" s="16"/>
      <c r="J9" s="16"/>
      <c r="K9" s="16"/>
      <c r="L9" s="54">
        <f t="shared" si="0"/>
        <v>0</v>
      </c>
      <c r="M9" s="11"/>
      <c r="N9" s="11"/>
      <c r="O9" s="11"/>
      <c r="P9" s="42" t="str">
        <f t="shared" si="1"/>
        <v>Enter data here</v>
      </c>
      <c r="Q9" s="42" t="str">
        <f t="shared" si="2"/>
        <v>Use column to left</v>
      </c>
      <c r="R9" s="23" t="s">
        <v>362</v>
      </c>
      <c r="S9" s="184" t="str">
        <f t="shared" si="3"/>
        <v>Unfilled fields on left</v>
      </c>
      <c r="U9" s="24"/>
    </row>
    <row r="10" spans="2:22">
      <c r="B10" s="182" t="s">
        <v>191</v>
      </c>
      <c r="C10" s="183" t="s">
        <v>192</v>
      </c>
      <c r="D10" s="9" t="s">
        <v>309</v>
      </c>
      <c r="E10" s="19"/>
      <c r="F10" s="17"/>
      <c r="G10" s="17"/>
      <c r="H10" s="16"/>
      <c r="I10" s="16"/>
      <c r="J10" s="16"/>
      <c r="K10" s="16"/>
      <c r="L10" s="54">
        <f t="shared" si="0"/>
        <v>0</v>
      </c>
      <c r="M10" s="11"/>
      <c r="N10" s="11"/>
      <c r="O10" s="11"/>
      <c r="P10" s="42" t="str">
        <f t="shared" si="1"/>
        <v>Enter data here</v>
      </c>
      <c r="Q10" s="42" t="str">
        <f t="shared" si="2"/>
        <v>Use column to left</v>
      </c>
      <c r="R10" s="23" t="s">
        <v>362</v>
      </c>
      <c r="S10" s="184" t="str">
        <f t="shared" si="3"/>
        <v>Unfilled fields on left</v>
      </c>
      <c r="U10" s="24"/>
      <c r="V10" s="4"/>
    </row>
    <row r="11" spans="2:22">
      <c r="B11" s="182" t="s">
        <v>191</v>
      </c>
      <c r="C11" s="183" t="s">
        <v>305</v>
      </c>
      <c r="D11" s="9" t="s">
        <v>309</v>
      </c>
      <c r="E11" s="19"/>
      <c r="F11" s="17"/>
      <c r="G11" s="17"/>
      <c r="H11" s="16"/>
      <c r="I11" s="16"/>
      <c r="J11" s="16"/>
      <c r="K11" s="16"/>
      <c r="L11" s="54">
        <f t="shared" si="0"/>
        <v>0</v>
      </c>
      <c r="M11" s="11"/>
      <c r="N11" s="11"/>
      <c r="O11" s="11"/>
      <c r="P11" s="42" t="str">
        <f t="shared" si="1"/>
        <v>Enter data here</v>
      </c>
      <c r="Q11" s="42" t="str">
        <f t="shared" si="2"/>
        <v>Use column to left</v>
      </c>
      <c r="R11" s="23" t="s">
        <v>362</v>
      </c>
      <c r="S11" s="184" t="str">
        <f t="shared" si="3"/>
        <v>Unfilled fields on left</v>
      </c>
      <c r="U11" s="24"/>
      <c r="V11" s="4"/>
    </row>
    <row r="12" spans="2:22">
      <c r="B12" s="182" t="s">
        <v>308</v>
      </c>
      <c r="C12" s="183" t="s">
        <v>306</v>
      </c>
      <c r="D12" s="9" t="s">
        <v>309</v>
      </c>
      <c r="E12" s="19"/>
      <c r="F12" s="17"/>
      <c r="G12" s="17"/>
      <c r="H12" s="16"/>
      <c r="I12" s="16"/>
      <c r="J12" s="16"/>
      <c r="K12" s="16"/>
      <c r="L12" s="54">
        <f t="shared" si="0"/>
        <v>0</v>
      </c>
      <c r="M12" s="11"/>
      <c r="N12" s="11"/>
      <c r="O12" s="11"/>
      <c r="P12" s="42" t="str">
        <f t="shared" si="1"/>
        <v>Enter data here</v>
      </c>
      <c r="Q12" s="42" t="str">
        <f t="shared" si="2"/>
        <v>Use column to left</v>
      </c>
      <c r="R12" s="23" t="s">
        <v>362</v>
      </c>
      <c r="S12" s="184" t="str">
        <f t="shared" si="3"/>
        <v>Unfilled fields on left</v>
      </c>
      <c r="U12" s="24"/>
      <c r="V12" s="4"/>
    </row>
    <row r="13" spans="2:22">
      <c r="B13" s="182" t="s">
        <v>308</v>
      </c>
      <c r="C13" s="183" t="s">
        <v>307</v>
      </c>
      <c r="D13" s="9" t="s">
        <v>309</v>
      </c>
      <c r="E13" s="19"/>
      <c r="F13" s="17"/>
      <c r="G13" s="17"/>
      <c r="H13" s="16"/>
      <c r="I13" s="16"/>
      <c r="J13" s="16"/>
      <c r="K13" s="16"/>
      <c r="L13" s="54">
        <f t="shared" si="0"/>
        <v>0</v>
      </c>
      <c r="M13" s="11"/>
      <c r="N13" s="11"/>
      <c r="O13" s="11"/>
      <c r="P13" s="42" t="str">
        <f t="shared" si="1"/>
        <v>Enter data here</v>
      </c>
      <c r="Q13" s="42" t="str">
        <f t="shared" si="2"/>
        <v>Use column to left</v>
      </c>
      <c r="R13" s="23" t="s">
        <v>362</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362</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183</v>
      </c>
      <c r="C16" s="177"/>
      <c r="D16" s="177"/>
      <c r="E16" s="178"/>
      <c r="F16" s="177"/>
      <c r="G16" s="179"/>
      <c r="H16" s="180"/>
      <c r="I16" s="180"/>
      <c r="J16" s="180"/>
      <c r="K16" s="180"/>
      <c r="L16" s="180"/>
      <c r="M16" s="41"/>
      <c r="N16" s="15"/>
      <c r="O16" s="11"/>
      <c r="P16" s="22"/>
      <c r="Q16" s="22"/>
      <c r="R16" s="22"/>
      <c r="S16" s="186"/>
      <c r="U16" s="27"/>
      <c r="V16" s="4"/>
    </row>
    <row r="17" spans="2:22" s="11" customFormat="1">
      <c r="B17" s="10" t="s">
        <v>184</v>
      </c>
      <c r="C17" s="183" t="s">
        <v>340</v>
      </c>
      <c r="D17" s="9" t="s">
        <v>309</v>
      </c>
      <c r="E17" s="44"/>
      <c r="F17" s="17"/>
      <c r="G17" s="17"/>
      <c r="H17" s="17"/>
      <c r="I17" s="17" t="s">
        <v>185</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188</v>
      </c>
      <c r="C18" s="183" t="s">
        <v>354</v>
      </c>
      <c r="D18" s="9" t="s">
        <v>309</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188</v>
      </c>
      <c r="C19" s="183" t="s">
        <v>318</v>
      </c>
      <c r="D19" s="9" t="s">
        <v>309</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186</v>
      </c>
      <c r="C20" s="183" t="s">
        <v>319</v>
      </c>
      <c r="D20" s="9" t="s">
        <v>309</v>
      </c>
      <c r="E20" s="19"/>
      <c r="F20" s="17"/>
      <c r="G20" s="17"/>
      <c r="H20" s="16"/>
      <c r="I20" s="16"/>
      <c r="J20" s="16"/>
      <c r="K20" s="16"/>
      <c r="L20" s="54">
        <f t="shared" si="4"/>
        <v>0</v>
      </c>
      <c r="M20" s="11"/>
      <c r="N20" s="11"/>
      <c r="O20" s="11"/>
      <c r="P20" s="22"/>
      <c r="Q20" s="22"/>
      <c r="R20" s="22"/>
      <c r="S20" s="22"/>
      <c r="U20" s="17"/>
    </row>
    <row r="21" spans="2:22" s="7" customFormat="1">
      <c r="B21" s="182" t="s">
        <v>186</v>
      </c>
      <c r="C21" s="183" t="s">
        <v>355</v>
      </c>
      <c r="D21" s="9" t="s">
        <v>309</v>
      </c>
      <c r="E21" s="19"/>
      <c r="F21" s="17"/>
      <c r="G21" s="17"/>
      <c r="H21" s="16"/>
      <c r="I21" s="16"/>
      <c r="J21" s="16"/>
      <c r="K21" s="16"/>
      <c r="L21" s="54">
        <f t="shared" si="4"/>
        <v>0</v>
      </c>
      <c r="M21" s="11"/>
      <c r="N21" s="11"/>
      <c r="O21" s="11"/>
      <c r="P21" s="22"/>
      <c r="Q21" s="22"/>
      <c r="R21" s="22"/>
      <c r="S21" s="22"/>
      <c r="U21" s="17"/>
    </row>
    <row r="22" spans="2:22" s="7" customFormat="1">
      <c r="B22" s="182" t="s">
        <v>186</v>
      </c>
      <c r="C22" s="183" t="s">
        <v>332</v>
      </c>
      <c r="D22" s="9" t="s">
        <v>309</v>
      </c>
      <c r="E22" s="44"/>
      <c r="F22" s="17"/>
      <c r="G22" s="17"/>
      <c r="H22" s="16"/>
      <c r="I22" s="45"/>
      <c r="J22" s="42"/>
      <c r="K22" s="16"/>
      <c r="L22" s="54">
        <f t="shared" si="4"/>
        <v>0</v>
      </c>
      <c r="M22" s="11"/>
      <c r="N22" s="11"/>
      <c r="O22" s="11"/>
      <c r="P22" s="22"/>
      <c r="Q22" s="22"/>
      <c r="R22" s="22"/>
      <c r="S22" s="22"/>
      <c r="U22" s="17"/>
    </row>
    <row r="23" spans="2:22" s="7" customFormat="1">
      <c r="B23" s="182" t="s">
        <v>189</v>
      </c>
      <c r="C23" s="183" t="s">
        <v>320</v>
      </c>
      <c r="D23" s="9" t="s">
        <v>309</v>
      </c>
      <c r="E23" s="19"/>
      <c r="F23" s="17"/>
      <c r="G23" s="17"/>
      <c r="H23" s="16"/>
      <c r="I23" s="16"/>
      <c r="J23" s="16"/>
      <c r="K23" s="16"/>
      <c r="L23" s="54">
        <f t="shared" si="4"/>
        <v>0</v>
      </c>
      <c r="M23" s="11"/>
      <c r="N23" s="11"/>
      <c r="O23" s="11"/>
      <c r="P23" s="11"/>
      <c r="Q23" s="11"/>
      <c r="R23" s="11"/>
      <c r="S23" s="22"/>
      <c r="U23" s="17"/>
    </row>
    <row r="24" spans="2:22" s="7" customFormat="1">
      <c r="B24" s="182" t="s">
        <v>189</v>
      </c>
      <c r="C24" s="183" t="s">
        <v>190</v>
      </c>
      <c r="D24" s="9" t="s">
        <v>309</v>
      </c>
      <c r="E24" s="19"/>
      <c r="F24" s="17"/>
      <c r="G24" s="17"/>
      <c r="H24" s="16"/>
      <c r="I24" s="16"/>
      <c r="J24" s="16"/>
      <c r="K24" s="16"/>
      <c r="L24" s="54">
        <f t="shared" si="4"/>
        <v>0</v>
      </c>
      <c r="M24" s="11"/>
      <c r="N24" s="11"/>
      <c r="O24" s="11"/>
      <c r="P24" s="11"/>
      <c r="Q24" s="11"/>
      <c r="R24" s="11"/>
      <c r="S24" s="11"/>
      <c r="U24" s="17"/>
    </row>
    <row r="25" spans="2:22" s="7" customFormat="1">
      <c r="B25" s="182" t="s">
        <v>321</v>
      </c>
      <c r="C25" s="183" t="s">
        <v>359</v>
      </c>
      <c r="D25" s="9" t="s">
        <v>309</v>
      </c>
      <c r="E25" s="19"/>
      <c r="F25" s="17"/>
      <c r="G25" s="17"/>
      <c r="H25" s="16"/>
      <c r="I25" s="16"/>
      <c r="J25" s="16"/>
      <c r="K25" s="16"/>
      <c r="L25" s="54">
        <f t="shared" si="4"/>
        <v>0</v>
      </c>
      <c r="M25" s="11"/>
      <c r="N25" s="11"/>
      <c r="O25" s="11"/>
      <c r="P25" s="23">
        <v>0</v>
      </c>
      <c r="Q25" s="22"/>
      <c r="R25" s="23" t="s">
        <v>346</v>
      </c>
      <c r="S25" s="184" t="str">
        <f>IFERROR(IF(D25="tonnes/yr", $P25*$E25/($L$17*3.6), $Q25*$E25*3.6/($L$17*3.6)), "Unfilled fields on left")</f>
        <v>Unfilled fields on left</v>
      </c>
      <c r="U25" s="17"/>
    </row>
    <row r="26" spans="2:22" s="7" customFormat="1">
      <c r="B26" s="182" t="s">
        <v>321</v>
      </c>
      <c r="C26" s="183" t="s">
        <v>357</v>
      </c>
      <c r="D26" s="9" t="s">
        <v>309</v>
      </c>
      <c r="E26" s="19"/>
      <c r="F26" s="17"/>
      <c r="G26" s="17"/>
      <c r="H26" s="16"/>
      <c r="I26" s="16"/>
      <c r="J26" s="16"/>
      <c r="K26" s="16"/>
      <c r="L26" s="54">
        <f t="shared" si="4"/>
        <v>0</v>
      </c>
      <c r="M26" s="11"/>
      <c r="N26" s="11"/>
      <c r="O26" s="11"/>
      <c r="P26" s="23">
        <v>1000</v>
      </c>
      <c r="Q26" s="22"/>
      <c r="R26" s="23" t="s">
        <v>345</v>
      </c>
      <c r="S26" s="184" t="str">
        <f>IFERROR(IF(D26="tonnes/yr", $P26*$E26/($L$17*3.6), $Q26*$E26*3.6/($L$17*3.6)), "Unfilled fields on left")</f>
        <v>Unfilled fields on left</v>
      </c>
      <c r="U26" s="17"/>
    </row>
    <row r="27" spans="2:22" s="7" customFormat="1">
      <c r="B27" s="182" t="s">
        <v>333</v>
      </c>
      <c r="C27" s="183" t="s">
        <v>342</v>
      </c>
      <c r="D27" s="9" t="s">
        <v>309</v>
      </c>
      <c r="E27" s="19"/>
      <c r="F27" s="17"/>
      <c r="G27" s="17"/>
      <c r="H27" s="16"/>
      <c r="I27" s="16"/>
      <c r="J27" s="16"/>
      <c r="K27" s="16"/>
      <c r="L27" s="54">
        <f t="shared" si="4"/>
        <v>0</v>
      </c>
      <c r="M27" s="11"/>
      <c r="N27" s="11"/>
      <c r="O27" s="11"/>
      <c r="P27" s="23">
        <v>-1000</v>
      </c>
      <c r="Q27" s="22"/>
      <c r="R27" s="23" t="s">
        <v>344</v>
      </c>
      <c r="S27" s="184" t="str">
        <f>IFERROR(IF(D27="tonnes/yr", $P27*$E27/($L$17*3.6), $Q27*$E27*3.6/($L$17*3.6)), "Unfilled fields on left")</f>
        <v>Unfilled fields on left</v>
      </c>
      <c r="U27" s="17"/>
    </row>
    <row r="28" spans="2:22" s="7" customFormat="1">
      <c r="B28" s="182" t="s">
        <v>333</v>
      </c>
      <c r="C28" s="183" t="s">
        <v>343</v>
      </c>
      <c r="D28" s="9" t="s">
        <v>309</v>
      </c>
      <c r="E28" s="19"/>
      <c r="F28" s="17"/>
      <c r="G28" s="17"/>
      <c r="H28" s="16"/>
      <c r="I28" s="16"/>
      <c r="J28" s="16"/>
      <c r="K28" s="16"/>
      <c r="L28" s="54">
        <f t="shared" si="4"/>
        <v>0</v>
      </c>
      <c r="M28" s="11"/>
      <c r="N28" s="11"/>
      <c r="O28" s="11"/>
      <c r="P28" s="23">
        <v>-1000</v>
      </c>
      <c r="Q28" s="22"/>
      <c r="R28" s="23" t="s">
        <v>347</v>
      </c>
      <c r="S28" s="184" t="str">
        <f>IFERROR(IF(D28="tonnes/yr", $P28*$E28/($L$17*3.6), $Q28*$E28*3.6/($L$17*3.6)), "Unfilled fields on left")</f>
        <v>Unfilled fields on left</v>
      </c>
      <c r="U28" s="17"/>
    </row>
    <row r="29" spans="2:22">
      <c r="B29" s="182" t="s">
        <v>349</v>
      </c>
      <c r="C29" s="183" t="s">
        <v>350</v>
      </c>
      <c r="D29" s="9" t="s">
        <v>309</v>
      </c>
      <c r="E29" s="19"/>
      <c r="F29" s="17"/>
      <c r="G29" s="17"/>
      <c r="H29" s="16"/>
      <c r="I29" s="16"/>
      <c r="J29" s="16"/>
      <c r="K29" s="16"/>
      <c r="L29" s="54">
        <f t="shared" si="4"/>
        <v>0</v>
      </c>
      <c r="M29" s="11"/>
      <c r="N29" s="11"/>
      <c r="O29" s="11"/>
      <c r="P29" s="23">
        <v>-1000</v>
      </c>
      <c r="Q29" s="22"/>
      <c r="R29" s="23" t="s">
        <v>352</v>
      </c>
      <c r="S29" s="184" t="str">
        <f t="shared" ref="S29:S33" si="5">IFERROR(IF(D29="tonnes/yr", $P29*$E29/($L$17*3.6), $Q29*$E29*3.6/($L$17*3.6)), "Unfilled fields on left")</f>
        <v>Unfilled fields on left</v>
      </c>
      <c r="T29" s="7"/>
      <c r="U29" s="17"/>
      <c r="V29" s="4"/>
    </row>
    <row r="30" spans="2:22">
      <c r="B30" s="182" t="s">
        <v>349</v>
      </c>
      <c r="C30" s="183" t="s">
        <v>351</v>
      </c>
      <c r="D30" s="9" t="s">
        <v>309</v>
      </c>
      <c r="E30" s="19"/>
      <c r="F30" s="17"/>
      <c r="G30" s="17"/>
      <c r="H30" s="16"/>
      <c r="I30" s="16"/>
      <c r="J30" s="16"/>
      <c r="K30" s="16"/>
      <c r="L30" s="54">
        <f t="shared" si="4"/>
        <v>0</v>
      </c>
      <c r="M30" s="11"/>
      <c r="N30" s="11"/>
      <c r="O30" s="11"/>
      <c r="P30" s="23">
        <v>-1000</v>
      </c>
      <c r="Q30" s="22"/>
      <c r="R30" s="23" t="s">
        <v>353</v>
      </c>
      <c r="S30" s="184" t="str">
        <f t="shared" si="5"/>
        <v>Unfilled fields on left</v>
      </c>
      <c r="T30" s="7"/>
      <c r="U30" s="17"/>
      <c r="V30" s="4"/>
    </row>
    <row r="31" spans="2:22">
      <c r="B31" s="182" t="s">
        <v>323</v>
      </c>
      <c r="C31" s="183" t="s">
        <v>324</v>
      </c>
      <c r="D31" s="9" t="s">
        <v>309</v>
      </c>
      <c r="E31" s="19"/>
      <c r="F31" s="17"/>
      <c r="G31" s="17"/>
      <c r="H31" s="16"/>
      <c r="I31" s="16"/>
      <c r="J31" s="16"/>
      <c r="K31" s="16"/>
      <c r="L31" s="54">
        <f t="shared" si="4"/>
        <v>0</v>
      </c>
      <c r="M31" s="11"/>
      <c r="N31" s="11"/>
      <c r="O31" s="11"/>
      <c r="P31" s="23">
        <v>28000</v>
      </c>
      <c r="Q31" s="22"/>
      <c r="R31" s="23" t="s">
        <v>328</v>
      </c>
      <c r="S31" s="184" t="str">
        <f t="shared" si="5"/>
        <v>Unfilled fields on left</v>
      </c>
      <c r="T31" s="7"/>
      <c r="U31" s="17"/>
      <c r="V31" s="4"/>
    </row>
    <row r="32" spans="2:22">
      <c r="B32" s="182" t="s">
        <v>323</v>
      </c>
      <c r="C32" s="183" t="s">
        <v>325</v>
      </c>
      <c r="D32" s="9" t="s">
        <v>309</v>
      </c>
      <c r="E32" s="19"/>
      <c r="F32" s="17"/>
      <c r="G32" s="17"/>
      <c r="H32" s="16"/>
      <c r="I32" s="16"/>
      <c r="J32" s="16"/>
      <c r="K32" s="16"/>
      <c r="L32" s="54">
        <f t="shared" si="4"/>
        <v>0</v>
      </c>
      <c r="M32" s="11"/>
      <c r="N32" s="11"/>
      <c r="O32" s="11"/>
      <c r="P32" s="23">
        <v>265000</v>
      </c>
      <c r="Q32" s="22"/>
      <c r="R32" s="23" t="s">
        <v>328</v>
      </c>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168</v>
      </c>
      <c r="S35" s="187">
        <f>SUM(S4:S34)</f>
        <v>0</v>
      </c>
      <c r="V35" s="4"/>
    </row>
    <row r="36" spans="2:22">
      <c r="B36" s="181" t="s">
        <v>329</v>
      </c>
      <c r="C36" s="177"/>
      <c r="D36" s="177"/>
      <c r="E36" s="177"/>
      <c r="M36" s="4"/>
      <c r="V36" s="4"/>
    </row>
    <row r="37" spans="2:22">
      <c r="B37" s="10" t="s">
        <v>330</v>
      </c>
      <c r="C37" s="9" t="s">
        <v>331</v>
      </c>
      <c r="D37" s="9" t="s">
        <v>169</v>
      </c>
      <c r="E37" s="10"/>
    </row>
    <row r="38" spans="2:22">
      <c r="B38" s="10" t="s">
        <v>335</v>
      </c>
      <c r="C38" s="9" t="s">
        <v>336</v>
      </c>
      <c r="D38" s="9" t="s">
        <v>337</v>
      </c>
      <c r="E38" s="10"/>
    </row>
    <row r="39" spans="2:22">
      <c r="B39" s="10" t="s">
        <v>338</v>
      </c>
      <c r="C39" s="9" t="s">
        <v>339</v>
      </c>
      <c r="D39" s="9" t="s">
        <v>337</v>
      </c>
      <c r="E39" s="10"/>
    </row>
    <row r="40" spans="2:22">
      <c r="B40" s="10"/>
      <c r="C40" s="10"/>
      <c r="D40" s="10"/>
      <c r="E40" s="10"/>
    </row>
  </sheetData>
  <dataValidations count="1">
    <dataValidation type="list" allowBlank="1" showInputMessage="1" showErrorMessage="1" sqref="D5:D14 D17:D33" xr:uid="{A9781C3C-F988-4D05-9A5B-FEF41052D70E}">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2:V40"/>
  <sheetViews>
    <sheetView showGridLines="0" zoomScaleNormal="100" workbookViewId="0"/>
  </sheetViews>
  <sheetFormatPr defaultColWidth="7.21875" defaultRowHeight="14.4"/>
  <cols>
    <col min="1" max="1" width="5.21875" style="4" customWidth="1"/>
    <col min="2" max="2" width="25" style="4" bestFit="1" customWidth="1"/>
    <col min="3" max="3" width="39" style="4" bestFit="1" customWidth="1"/>
    <col min="4" max="4" width="13.44140625" style="4" customWidth="1"/>
    <col min="5" max="5" width="15.33203125" style="6" customWidth="1"/>
    <col min="6" max="6" width="20.88671875" style="4" customWidth="1"/>
    <col min="7" max="7" width="17" style="4" customWidth="1"/>
    <col min="8" max="8" width="12.77734375" style="5" customWidth="1"/>
    <col min="9" max="9" width="17.44140625" style="5" customWidth="1"/>
    <col min="10" max="11" width="14.21875" style="5" customWidth="1"/>
    <col min="12" max="12" width="14" style="5" customWidth="1"/>
    <col min="13" max="13" width="7.21875" style="1"/>
    <col min="14" max="14" width="18.77734375" style="4" customWidth="1"/>
    <col min="15" max="15" width="17.5546875" style="4" customWidth="1"/>
    <col min="16" max="17" width="20.77734375" style="5" customWidth="1"/>
    <col min="18" max="18" width="16.21875" style="5" customWidth="1"/>
    <col min="19" max="19" width="20.21875" style="48" customWidth="1"/>
    <col min="20" max="20" width="7.21875" style="4" customWidth="1"/>
    <col min="21" max="21" width="21.33203125" style="4" customWidth="1"/>
    <col min="22" max="22" width="7.21875" style="1"/>
    <col min="23" max="16384" width="7.21875" style="4"/>
  </cols>
  <sheetData>
    <row r="2" spans="2:22" ht="87" thickBot="1">
      <c r="B2" s="3" t="s">
        <v>170</v>
      </c>
      <c r="C2" s="3" t="s">
        <v>171</v>
      </c>
      <c r="D2" s="3" t="s">
        <v>8</v>
      </c>
      <c r="E2" s="8" t="s">
        <v>172</v>
      </c>
      <c r="F2" s="38" t="s">
        <v>297</v>
      </c>
      <c r="G2" s="38" t="s">
        <v>298</v>
      </c>
      <c r="H2" s="38" t="s">
        <v>173</v>
      </c>
      <c r="I2" s="38" t="s">
        <v>299</v>
      </c>
      <c r="J2" s="38" t="s">
        <v>300</v>
      </c>
      <c r="K2" s="38" t="s">
        <v>301</v>
      </c>
      <c r="L2" s="38" t="s">
        <v>302</v>
      </c>
      <c r="M2" s="38"/>
      <c r="N2" s="39" t="s">
        <v>311</v>
      </c>
      <c r="O2" s="39" t="s">
        <v>312</v>
      </c>
      <c r="P2" s="38" t="s">
        <v>313</v>
      </c>
      <c r="Q2" s="38" t="s">
        <v>314</v>
      </c>
      <c r="R2" s="38" t="s">
        <v>174</v>
      </c>
      <c r="S2" s="47" t="s">
        <v>315</v>
      </c>
      <c r="T2" s="47"/>
      <c r="U2" s="38" t="s">
        <v>175</v>
      </c>
    </row>
    <row r="3" spans="2:22" ht="15" thickTop="1"/>
    <row r="4" spans="2:22">
      <c r="B4" s="181" t="s">
        <v>176</v>
      </c>
      <c r="C4" s="177"/>
      <c r="D4" s="177"/>
      <c r="E4" s="178"/>
      <c r="F4" s="177"/>
      <c r="G4" s="179"/>
      <c r="H4" s="180"/>
      <c r="I4" s="180"/>
      <c r="J4" s="180"/>
      <c r="K4" s="180"/>
      <c r="L4" s="180"/>
      <c r="N4" s="11"/>
      <c r="P4" s="14"/>
      <c r="Q4" s="14"/>
      <c r="R4" s="14"/>
      <c r="S4" s="49"/>
      <c r="U4" s="11"/>
      <c r="V4" s="4"/>
    </row>
    <row r="5" spans="2:22" s="11" customFormat="1">
      <c r="B5" s="10" t="s">
        <v>177</v>
      </c>
      <c r="C5" s="183" t="s">
        <v>340</v>
      </c>
      <c r="D5" s="9" t="s">
        <v>309</v>
      </c>
      <c r="E5" s="43"/>
      <c r="F5" s="17"/>
      <c r="G5" s="17"/>
      <c r="H5" s="16"/>
      <c r="I5" s="16" t="s">
        <v>185</v>
      </c>
      <c r="J5" s="42"/>
      <c r="K5" s="16"/>
      <c r="L5" s="54">
        <f>IF($D5="MWh/yr (LHV)",$E5,$J5*$E5/3.6)</f>
        <v>0</v>
      </c>
      <c r="P5" s="42" t="str">
        <f>IF(B5="", "", IF(D5="MWh/yr (LHV)", "Use column to right", "Enter data here"))</f>
        <v>Enter data here</v>
      </c>
      <c r="Q5" s="42" t="str">
        <f>IF(B5="", "", IF(D5="MWh/yr (LHV)", "Enter data here", "Use column to left"))</f>
        <v>Use column to left</v>
      </c>
      <c r="R5" s="23" t="s">
        <v>362</v>
      </c>
      <c r="S5" s="184" t="str">
        <f>IFERROR(IF(D5="tonnes/yr", $P5*$E5/($L$17*3.6), $Q5*$E5*3.6/($L$17*3.6)), "Unfilled fields on left")</f>
        <v>Unfilled fields on left</v>
      </c>
      <c r="U5" s="23"/>
    </row>
    <row r="6" spans="2:22" s="11" customFormat="1">
      <c r="B6" s="182" t="s">
        <v>179</v>
      </c>
      <c r="C6" s="183" t="s">
        <v>180</v>
      </c>
      <c r="D6" s="9" t="s">
        <v>310</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362</v>
      </c>
      <c r="S6" s="184" t="str">
        <f t="shared" ref="S6:S14" si="3">IFERROR(IF(D6="tonnes/yr", $P6*$E6/($L$17*3.6), $Q6*$E6*3.6/($L$17*3.6)), "Unfilled fields on left")</f>
        <v>Unfilled fields on left</v>
      </c>
      <c r="U6" s="17"/>
    </row>
    <row r="7" spans="2:22">
      <c r="B7" s="182" t="s">
        <v>179</v>
      </c>
      <c r="C7" s="183" t="s">
        <v>187</v>
      </c>
      <c r="D7" s="9" t="s">
        <v>310</v>
      </c>
      <c r="E7" s="18"/>
      <c r="F7" s="17"/>
      <c r="G7" s="17"/>
      <c r="H7" s="16"/>
      <c r="I7" s="16"/>
      <c r="J7" s="16"/>
      <c r="K7" s="16"/>
      <c r="L7" s="54">
        <f t="shared" si="0"/>
        <v>0</v>
      </c>
      <c r="M7" s="11"/>
      <c r="N7" s="11"/>
      <c r="O7" s="11"/>
      <c r="P7" s="42" t="str">
        <f t="shared" si="1"/>
        <v>Use column to right</v>
      </c>
      <c r="Q7" s="42" t="str">
        <f t="shared" si="2"/>
        <v>Enter data here</v>
      </c>
      <c r="R7" s="23" t="s">
        <v>362</v>
      </c>
      <c r="S7" s="184" t="str">
        <f t="shared" si="3"/>
        <v>Unfilled fields on left</v>
      </c>
      <c r="U7" s="17"/>
      <c r="V7" s="4"/>
    </row>
    <row r="8" spans="2:22" s="7" customFormat="1">
      <c r="B8" s="182" t="s">
        <v>179</v>
      </c>
      <c r="C8" s="183" t="s">
        <v>182</v>
      </c>
      <c r="D8" s="9" t="s">
        <v>309</v>
      </c>
      <c r="E8" s="19"/>
      <c r="F8" s="17"/>
      <c r="G8" s="17"/>
      <c r="H8" s="16"/>
      <c r="I8" s="16"/>
      <c r="J8" s="16"/>
      <c r="K8" s="16"/>
      <c r="L8" s="54">
        <f t="shared" si="0"/>
        <v>0</v>
      </c>
      <c r="M8" s="11"/>
      <c r="N8" s="11"/>
      <c r="O8" s="11"/>
      <c r="P8" s="42" t="str">
        <f t="shared" si="1"/>
        <v>Enter data here</v>
      </c>
      <c r="Q8" s="42" t="str">
        <f t="shared" si="2"/>
        <v>Use column to left</v>
      </c>
      <c r="R8" s="23" t="s">
        <v>362</v>
      </c>
      <c r="S8" s="184" t="str">
        <f t="shared" si="3"/>
        <v>Unfilled fields on left</v>
      </c>
      <c r="U8" s="24"/>
    </row>
    <row r="9" spans="2:22" s="7" customFormat="1">
      <c r="B9" s="182" t="s">
        <v>179</v>
      </c>
      <c r="C9" s="183" t="s">
        <v>304</v>
      </c>
      <c r="D9" s="9" t="s">
        <v>309</v>
      </c>
      <c r="E9" s="19"/>
      <c r="F9" s="17"/>
      <c r="G9" s="17"/>
      <c r="H9" s="16"/>
      <c r="I9" s="16"/>
      <c r="J9" s="16"/>
      <c r="K9" s="16"/>
      <c r="L9" s="54">
        <f t="shared" si="0"/>
        <v>0</v>
      </c>
      <c r="M9" s="11"/>
      <c r="N9" s="11"/>
      <c r="O9" s="11"/>
      <c r="P9" s="42" t="str">
        <f t="shared" si="1"/>
        <v>Enter data here</v>
      </c>
      <c r="Q9" s="42" t="str">
        <f t="shared" si="2"/>
        <v>Use column to left</v>
      </c>
      <c r="R9" s="23" t="s">
        <v>362</v>
      </c>
      <c r="S9" s="184" t="str">
        <f t="shared" si="3"/>
        <v>Unfilled fields on left</v>
      </c>
      <c r="U9" s="24"/>
    </row>
    <row r="10" spans="2:22">
      <c r="B10" s="182" t="s">
        <v>191</v>
      </c>
      <c r="C10" s="183" t="s">
        <v>192</v>
      </c>
      <c r="D10" s="9" t="s">
        <v>309</v>
      </c>
      <c r="E10" s="19"/>
      <c r="F10" s="17"/>
      <c r="G10" s="17"/>
      <c r="H10" s="16"/>
      <c r="I10" s="16"/>
      <c r="J10" s="16"/>
      <c r="K10" s="16"/>
      <c r="L10" s="54">
        <f t="shared" si="0"/>
        <v>0</v>
      </c>
      <c r="M10" s="11"/>
      <c r="N10" s="11"/>
      <c r="O10" s="11"/>
      <c r="P10" s="42" t="str">
        <f t="shared" si="1"/>
        <v>Enter data here</v>
      </c>
      <c r="Q10" s="42" t="str">
        <f t="shared" si="2"/>
        <v>Use column to left</v>
      </c>
      <c r="R10" s="23" t="s">
        <v>362</v>
      </c>
      <c r="S10" s="184" t="str">
        <f t="shared" si="3"/>
        <v>Unfilled fields on left</v>
      </c>
      <c r="U10" s="24"/>
      <c r="V10" s="4"/>
    </row>
    <row r="11" spans="2:22">
      <c r="B11" s="182" t="s">
        <v>191</v>
      </c>
      <c r="C11" s="183" t="s">
        <v>305</v>
      </c>
      <c r="D11" s="9" t="s">
        <v>309</v>
      </c>
      <c r="E11" s="19"/>
      <c r="F11" s="17"/>
      <c r="G11" s="17"/>
      <c r="H11" s="16"/>
      <c r="I11" s="16"/>
      <c r="J11" s="16"/>
      <c r="K11" s="16"/>
      <c r="L11" s="54">
        <f t="shared" si="0"/>
        <v>0</v>
      </c>
      <c r="M11" s="11"/>
      <c r="N11" s="11"/>
      <c r="O11" s="11"/>
      <c r="P11" s="42" t="str">
        <f t="shared" si="1"/>
        <v>Enter data here</v>
      </c>
      <c r="Q11" s="42" t="str">
        <f t="shared" si="2"/>
        <v>Use column to left</v>
      </c>
      <c r="R11" s="23" t="s">
        <v>362</v>
      </c>
      <c r="S11" s="184" t="str">
        <f t="shared" si="3"/>
        <v>Unfilled fields on left</v>
      </c>
      <c r="U11" s="24"/>
      <c r="V11" s="4"/>
    </row>
    <row r="12" spans="2:22">
      <c r="B12" s="182" t="s">
        <v>308</v>
      </c>
      <c r="C12" s="183" t="s">
        <v>306</v>
      </c>
      <c r="D12" s="9" t="s">
        <v>309</v>
      </c>
      <c r="E12" s="19"/>
      <c r="F12" s="17"/>
      <c r="G12" s="17"/>
      <c r="H12" s="16"/>
      <c r="I12" s="16"/>
      <c r="J12" s="16"/>
      <c r="K12" s="16"/>
      <c r="L12" s="54">
        <f t="shared" si="0"/>
        <v>0</v>
      </c>
      <c r="M12" s="11"/>
      <c r="N12" s="11"/>
      <c r="O12" s="11"/>
      <c r="P12" s="42" t="str">
        <f t="shared" si="1"/>
        <v>Enter data here</v>
      </c>
      <c r="Q12" s="42" t="str">
        <f t="shared" si="2"/>
        <v>Use column to left</v>
      </c>
      <c r="R12" s="23" t="s">
        <v>362</v>
      </c>
      <c r="S12" s="184" t="str">
        <f t="shared" si="3"/>
        <v>Unfilled fields on left</v>
      </c>
      <c r="U12" s="24"/>
      <c r="V12" s="4"/>
    </row>
    <row r="13" spans="2:22">
      <c r="B13" s="182" t="s">
        <v>308</v>
      </c>
      <c r="C13" s="183" t="s">
        <v>307</v>
      </c>
      <c r="D13" s="9" t="s">
        <v>309</v>
      </c>
      <c r="E13" s="19"/>
      <c r="F13" s="17"/>
      <c r="G13" s="17"/>
      <c r="H13" s="16"/>
      <c r="I13" s="16"/>
      <c r="J13" s="16"/>
      <c r="K13" s="16"/>
      <c r="L13" s="54">
        <f t="shared" si="0"/>
        <v>0</v>
      </c>
      <c r="M13" s="11"/>
      <c r="N13" s="11"/>
      <c r="O13" s="11"/>
      <c r="P13" s="42" t="str">
        <f t="shared" si="1"/>
        <v>Enter data here</v>
      </c>
      <c r="Q13" s="42" t="str">
        <f t="shared" si="2"/>
        <v>Use column to left</v>
      </c>
      <c r="R13" s="23" t="s">
        <v>362</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362</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183</v>
      </c>
      <c r="C16" s="177"/>
      <c r="D16" s="177"/>
      <c r="E16" s="178"/>
      <c r="F16" s="177"/>
      <c r="G16" s="179"/>
      <c r="H16" s="180"/>
      <c r="I16" s="180"/>
      <c r="J16" s="180"/>
      <c r="K16" s="180"/>
      <c r="L16" s="180"/>
      <c r="M16" s="41"/>
      <c r="N16" s="15"/>
      <c r="O16" s="11"/>
      <c r="P16" s="22"/>
      <c r="Q16" s="22"/>
      <c r="R16" s="22"/>
      <c r="S16" s="186"/>
      <c r="U16" s="27"/>
      <c r="V16" s="4"/>
    </row>
    <row r="17" spans="2:22" s="11" customFormat="1">
      <c r="B17" s="10" t="s">
        <v>184</v>
      </c>
      <c r="C17" s="183" t="s">
        <v>340</v>
      </c>
      <c r="D17" s="9" t="s">
        <v>309</v>
      </c>
      <c r="E17" s="44"/>
      <c r="F17" s="17"/>
      <c r="G17" s="17"/>
      <c r="H17" s="17"/>
      <c r="I17" s="17" t="s">
        <v>185</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188</v>
      </c>
      <c r="C18" s="183" t="s">
        <v>317</v>
      </c>
      <c r="D18" s="9" t="s">
        <v>309</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188</v>
      </c>
      <c r="C19" s="183" t="s">
        <v>318</v>
      </c>
      <c r="D19" s="9" t="s">
        <v>309</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186</v>
      </c>
      <c r="C20" s="183" t="s">
        <v>319</v>
      </c>
      <c r="D20" s="9" t="s">
        <v>309</v>
      </c>
      <c r="E20" s="19"/>
      <c r="F20" s="17"/>
      <c r="G20" s="17"/>
      <c r="H20" s="16"/>
      <c r="I20" s="16"/>
      <c r="J20" s="16"/>
      <c r="K20" s="16"/>
      <c r="L20" s="54">
        <f t="shared" si="4"/>
        <v>0</v>
      </c>
      <c r="M20" s="11"/>
      <c r="N20" s="11"/>
      <c r="O20" s="11"/>
      <c r="P20" s="22"/>
      <c r="Q20" s="22"/>
      <c r="R20" s="22"/>
      <c r="S20" s="22"/>
      <c r="U20" s="17"/>
    </row>
    <row r="21" spans="2:22" s="7" customFormat="1">
      <c r="B21" s="182" t="s">
        <v>186</v>
      </c>
      <c r="C21" s="183" t="s">
        <v>355</v>
      </c>
      <c r="D21" s="9" t="s">
        <v>309</v>
      </c>
      <c r="E21" s="19"/>
      <c r="F21" s="17"/>
      <c r="G21" s="17"/>
      <c r="H21" s="16"/>
      <c r="I21" s="16"/>
      <c r="J21" s="16"/>
      <c r="K21" s="16"/>
      <c r="L21" s="54">
        <f t="shared" si="4"/>
        <v>0</v>
      </c>
      <c r="M21" s="11"/>
      <c r="N21" s="11"/>
      <c r="O21" s="11"/>
      <c r="P21" s="22"/>
      <c r="Q21" s="22"/>
      <c r="R21" s="22"/>
      <c r="S21" s="22"/>
      <c r="U21" s="17"/>
    </row>
    <row r="22" spans="2:22" s="7" customFormat="1">
      <c r="B22" s="182" t="s">
        <v>189</v>
      </c>
      <c r="C22" s="183" t="s">
        <v>320</v>
      </c>
      <c r="D22" s="9" t="s">
        <v>309</v>
      </c>
      <c r="E22" s="44"/>
      <c r="F22" s="17"/>
      <c r="G22" s="17"/>
      <c r="H22" s="16"/>
      <c r="I22" s="45"/>
      <c r="J22" s="42"/>
      <c r="K22" s="16"/>
      <c r="L22" s="54">
        <f t="shared" si="4"/>
        <v>0</v>
      </c>
      <c r="M22" s="11"/>
      <c r="N22" s="11"/>
      <c r="O22" s="11"/>
      <c r="P22" s="22"/>
      <c r="Q22" s="22"/>
      <c r="R22" s="22"/>
      <c r="S22" s="22"/>
      <c r="U22" s="17"/>
    </row>
    <row r="23" spans="2:22" s="7" customFormat="1">
      <c r="B23" s="182" t="s">
        <v>189</v>
      </c>
      <c r="C23" s="183" t="s">
        <v>190</v>
      </c>
      <c r="D23" s="9" t="s">
        <v>309</v>
      </c>
      <c r="E23" s="19"/>
      <c r="F23" s="17"/>
      <c r="G23" s="17"/>
      <c r="H23" s="16"/>
      <c r="I23" s="16"/>
      <c r="J23" s="16"/>
      <c r="K23" s="16"/>
      <c r="L23" s="54">
        <f t="shared" si="4"/>
        <v>0</v>
      </c>
      <c r="M23" s="11"/>
      <c r="N23" s="11"/>
      <c r="O23" s="11"/>
      <c r="P23" s="22"/>
      <c r="Q23" s="22"/>
      <c r="R23" s="22"/>
      <c r="S23" s="22"/>
      <c r="U23" s="17"/>
    </row>
    <row r="24" spans="2:22" s="7" customFormat="1">
      <c r="B24" s="182" t="s">
        <v>321</v>
      </c>
      <c r="C24" s="183" t="s">
        <v>322</v>
      </c>
      <c r="D24" s="9" t="s">
        <v>309</v>
      </c>
      <c r="E24" s="19"/>
      <c r="F24" s="17"/>
      <c r="G24" s="17"/>
      <c r="H24" s="16"/>
      <c r="I24" s="16"/>
      <c r="J24" s="16"/>
      <c r="K24" s="16"/>
      <c r="L24" s="54">
        <f t="shared" si="4"/>
        <v>0</v>
      </c>
      <c r="M24" s="11"/>
      <c r="N24" s="11"/>
      <c r="O24" s="11"/>
      <c r="P24" s="23">
        <v>1000</v>
      </c>
      <c r="Q24" s="22"/>
      <c r="R24" s="23" t="s">
        <v>327</v>
      </c>
      <c r="S24" s="184" t="str">
        <f>IFERROR(IF(D24="tonnes/yr", $P24*$E24/($L$17*3.6), $Q24*$E24*3.6/($L$17*3.6)), "Unfilled fields on left")</f>
        <v>Unfilled fields on left</v>
      </c>
      <c r="U24" s="17"/>
    </row>
    <row r="25" spans="2:22" s="7" customFormat="1">
      <c r="B25" s="182" t="s">
        <v>323</v>
      </c>
      <c r="C25" s="183" t="s">
        <v>324</v>
      </c>
      <c r="D25" s="9" t="s">
        <v>309</v>
      </c>
      <c r="E25" s="19"/>
      <c r="F25" s="17"/>
      <c r="G25" s="17"/>
      <c r="H25" s="16"/>
      <c r="I25" s="16"/>
      <c r="J25" s="16"/>
      <c r="K25" s="16"/>
      <c r="L25" s="54">
        <f t="shared" si="4"/>
        <v>0</v>
      </c>
      <c r="M25" s="11"/>
      <c r="N25" s="11"/>
      <c r="O25" s="11"/>
      <c r="P25" s="23">
        <v>28000</v>
      </c>
      <c r="Q25" s="22"/>
      <c r="R25" s="23" t="s">
        <v>328</v>
      </c>
      <c r="S25" s="184" t="str">
        <f>IFERROR(IF(D25="tonnes/yr", $P25*$E25/($L$17*3.6), $Q25*$E25*3.6/($L$17*3.6)), "Unfilled fields on left")</f>
        <v>Unfilled fields on left</v>
      </c>
      <c r="U25" s="17"/>
    </row>
    <row r="26" spans="2:22" s="7" customFormat="1">
      <c r="B26" s="182" t="s">
        <v>323</v>
      </c>
      <c r="C26" s="183" t="s">
        <v>325</v>
      </c>
      <c r="D26" s="9" t="s">
        <v>309</v>
      </c>
      <c r="E26" s="19"/>
      <c r="F26" s="17"/>
      <c r="G26" s="17"/>
      <c r="H26" s="16"/>
      <c r="I26" s="16"/>
      <c r="J26" s="16"/>
      <c r="K26" s="16"/>
      <c r="L26" s="54">
        <f t="shared" si="4"/>
        <v>0</v>
      </c>
      <c r="M26" s="11"/>
      <c r="N26" s="11"/>
      <c r="O26" s="11"/>
      <c r="P26" s="23">
        <v>265000</v>
      </c>
      <c r="Q26" s="22"/>
      <c r="R26" s="23" t="s">
        <v>328</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168</v>
      </c>
      <c r="S35" s="187">
        <f>SUM(S4:S34)</f>
        <v>0</v>
      </c>
      <c r="V35" s="4"/>
    </row>
    <row r="36" spans="2:22">
      <c r="B36" s="181" t="s">
        <v>329</v>
      </c>
      <c r="C36" s="177"/>
      <c r="D36" s="177"/>
      <c r="E36" s="177"/>
      <c r="M36" s="4"/>
      <c r="V36" s="4"/>
    </row>
    <row r="37" spans="2:22">
      <c r="B37" s="10" t="s">
        <v>330</v>
      </c>
      <c r="C37" s="9" t="s">
        <v>331</v>
      </c>
      <c r="D37" s="9" t="s">
        <v>169</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4F7529DE-C0D9-465B-B434-19856CAF002C}">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2:V40"/>
  <sheetViews>
    <sheetView showGridLines="0" zoomScaleNormal="100" workbookViewId="0"/>
  </sheetViews>
  <sheetFormatPr defaultColWidth="7.21875" defaultRowHeight="14.4"/>
  <cols>
    <col min="1" max="1" width="5.21875" style="4" customWidth="1"/>
    <col min="2" max="2" width="25" style="4" bestFit="1" customWidth="1"/>
    <col min="3" max="3" width="39" style="4" bestFit="1" customWidth="1"/>
    <col min="4" max="4" width="13.44140625" style="4" customWidth="1"/>
    <col min="5" max="5" width="15.33203125" style="6" customWidth="1"/>
    <col min="6" max="6" width="20.88671875" style="4" customWidth="1"/>
    <col min="7" max="7" width="17" style="4" customWidth="1"/>
    <col min="8" max="8" width="12.77734375" style="5" customWidth="1"/>
    <col min="9" max="9" width="17.44140625" style="5" customWidth="1"/>
    <col min="10" max="11" width="14.21875" style="5" customWidth="1"/>
    <col min="12" max="12" width="14" style="5" customWidth="1"/>
    <col min="13" max="13" width="7.21875" style="1"/>
    <col min="14" max="14" width="18.77734375" style="4" customWidth="1"/>
    <col min="15" max="15" width="17.5546875" style="4" customWidth="1"/>
    <col min="16" max="17" width="20.77734375" style="5" customWidth="1"/>
    <col min="18" max="18" width="16.21875" style="5" customWidth="1"/>
    <col min="19" max="19" width="20.21875" style="48" customWidth="1"/>
    <col min="20" max="20" width="7.21875" style="4" customWidth="1"/>
    <col min="21" max="21" width="21.33203125" style="4" customWidth="1"/>
    <col min="22" max="22" width="7.21875" style="1"/>
    <col min="23" max="16384" width="7.21875" style="4"/>
  </cols>
  <sheetData>
    <row r="2" spans="2:22" ht="87" thickBot="1">
      <c r="B2" s="3" t="s">
        <v>170</v>
      </c>
      <c r="C2" s="3" t="s">
        <v>171</v>
      </c>
      <c r="D2" s="3" t="s">
        <v>8</v>
      </c>
      <c r="E2" s="8" t="s">
        <v>172</v>
      </c>
      <c r="F2" s="38" t="s">
        <v>297</v>
      </c>
      <c r="G2" s="38" t="s">
        <v>298</v>
      </c>
      <c r="H2" s="38" t="s">
        <v>173</v>
      </c>
      <c r="I2" s="38" t="s">
        <v>299</v>
      </c>
      <c r="J2" s="38" t="s">
        <v>300</v>
      </c>
      <c r="K2" s="38" t="s">
        <v>301</v>
      </c>
      <c r="L2" s="38" t="s">
        <v>302</v>
      </c>
      <c r="M2" s="38"/>
      <c r="N2" s="39" t="s">
        <v>311</v>
      </c>
      <c r="O2" s="39" t="s">
        <v>312</v>
      </c>
      <c r="P2" s="38" t="s">
        <v>313</v>
      </c>
      <c r="Q2" s="38" t="s">
        <v>314</v>
      </c>
      <c r="R2" s="38" t="s">
        <v>174</v>
      </c>
      <c r="S2" s="47" t="s">
        <v>315</v>
      </c>
      <c r="T2" s="47"/>
      <c r="U2" s="38" t="s">
        <v>175</v>
      </c>
    </row>
    <row r="3" spans="2:22" ht="15" thickTop="1"/>
    <row r="4" spans="2:22">
      <c r="B4" s="181" t="s">
        <v>176</v>
      </c>
      <c r="C4" s="177"/>
      <c r="D4" s="177"/>
      <c r="E4" s="178"/>
      <c r="F4" s="177"/>
      <c r="G4" s="179"/>
      <c r="H4" s="180"/>
      <c r="I4" s="180"/>
      <c r="J4" s="180"/>
      <c r="K4" s="180"/>
      <c r="L4" s="180"/>
      <c r="N4" s="11"/>
      <c r="P4" s="14"/>
      <c r="Q4" s="14"/>
      <c r="R4" s="14"/>
      <c r="S4" s="49"/>
      <c r="U4" s="11"/>
      <c r="V4" s="4"/>
    </row>
    <row r="5" spans="2:22" s="11" customFormat="1">
      <c r="B5" s="10" t="s">
        <v>177</v>
      </c>
      <c r="C5" s="183" t="s">
        <v>340</v>
      </c>
      <c r="D5" s="9" t="s">
        <v>309</v>
      </c>
      <c r="E5" s="43"/>
      <c r="F5" s="17"/>
      <c r="G5" s="17"/>
      <c r="H5" s="16"/>
      <c r="I5" s="16" t="s">
        <v>185</v>
      </c>
      <c r="J5" s="42"/>
      <c r="K5" s="16"/>
      <c r="L5" s="54">
        <f>IF($D5="MWh/yr (LHV)",$E5,$J5*$E5/3.6)</f>
        <v>0</v>
      </c>
      <c r="P5" s="42" t="str">
        <f>IF(B5="", "", IF(D5="MWh/yr (LHV)", "Use column to right", "Enter data here"))</f>
        <v>Enter data here</v>
      </c>
      <c r="Q5" s="42" t="str">
        <f>IF(B5="", "", IF(D5="MWh/yr (LHV)", "Enter data here", "Use column to left"))</f>
        <v>Use column to left</v>
      </c>
      <c r="R5" s="23" t="s">
        <v>362</v>
      </c>
      <c r="S5" s="184" t="str">
        <f>IFERROR(IF(D5="tonnes/yr", $P5*$E5/($L$17*3.6), $Q5*$E5*3.6/($L$17*3.6)), "Unfilled fields on left")</f>
        <v>Unfilled fields on left</v>
      </c>
      <c r="U5" s="23"/>
    </row>
    <row r="6" spans="2:22" s="11" customFormat="1">
      <c r="B6" s="182" t="s">
        <v>179</v>
      </c>
      <c r="C6" s="183" t="s">
        <v>180</v>
      </c>
      <c r="D6" s="9" t="s">
        <v>310</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362</v>
      </c>
      <c r="S6" s="184" t="str">
        <f t="shared" ref="S6:S14" si="3">IFERROR(IF(D6="tonnes/yr", $P6*$E6/($L$17*3.6), $Q6*$E6*3.6/($L$17*3.6)), "Unfilled fields on left")</f>
        <v>Unfilled fields on left</v>
      </c>
      <c r="U6" s="17"/>
    </row>
    <row r="7" spans="2:22">
      <c r="B7" s="182" t="s">
        <v>179</v>
      </c>
      <c r="C7" s="183" t="s">
        <v>187</v>
      </c>
      <c r="D7" s="9" t="s">
        <v>310</v>
      </c>
      <c r="E7" s="18"/>
      <c r="F7" s="17"/>
      <c r="G7" s="17"/>
      <c r="H7" s="16"/>
      <c r="I7" s="16"/>
      <c r="J7" s="16"/>
      <c r="K7" s="16"/>
      <c r="L7" s="54">
        <f t="shared" si="0"/>
        <v>0</v>
      </c>
      <c r="M7" s="11"/>
      <c r="N7" s="11"/>
      <c r="O7" s="11"/>
      <c r="P7" s="42" t="str">
        <f t="shared" si="1"/>
        <v>Use column to right</v>
      </c>
      <c r="Q7" s="42" t="str">
        <f t="shared" si="2"/>
        <v>Enter data here</v>
      </c>
      <c r="R7" s="23" t="s">
        <v>362</v>
      </c>
      <c r="S7" s="184" t="str">
        <f t="shared" si="3"/>
        <v>Unfilled fields on left</v>
      </c>
      <c r="U7" s="17"/>
      <c r="V7" s="4"/>
    </row>
    <row r="8" spans="2:22" s="7" customFormat="1">
      <c r="B8" s="182" t="s">
        <v>179</v>
      </c>
      <c r="C8" s="183" t="s">
        <v>182</v>
      </c>
      <c r="D8" s="9" t="s">
        <v>309</v>
      </c>
      <c r="E8" s="19"/>
      <c r="F8" s="17"/>
      <c r="G8" s="17"/>
      <c r="H8" s="16"/>
      <c r="I8" s="16"/>
      <c r="J8" s="16"/>
      <c r="K8" s="16"/>
      <c r="L8" s="54">
        <f t="shared" si="0"/>
        <v>0</v>
      </c>
      <c r="M8" s="11"/>
      <c r="N8" s="11"/>
      <c r="O8" s="11"/>
      <c r="P8" s="42" t="str">
        <f t="shared" si="1"/>
        <v>Enter data here</v>
      </c>
      <c r="Q8" s="42" t="str">
        <f t="shared" si="2"/>
        <v>Use column to left</v>
      </c>
      <c r="R8" s="23" t="s">
        <v>362</v>
      </c>
      <c r="S8" s="184" t="str">
        <f t="shared" si="3"/>
        <v>Unfilled fields on left</v>
      </c>
      <c r="U8" s="24"/>
    </row>
    <row r="9" spans="2:22" s="7" customFormat="1">
      <c r="B9" s="182" t="s">
        <v>179</v>
      </c>
      <c r="C9" s="183" t="s">
        <v>304</v>
      </c>
      <c r="D9" s="9" t="s">
        <v>309</v>
      </c>
      <c r="E9" s="19"/>
      <c r="F9" s="17"/>
      <c r="G9" s="17"/>
      <c r="H9" s="16"/>
      <c r="I9" s="16"/>
      <c r="J9" s="16"/>
      <c r="K9" s="16"/>
      <c r="L9" s="54">
        <f t="shared" si="0"/>
        <v>0</v>
      </c>
      <c r="M9" s="11"/>
      <c r="N9" s="11"/>
      <c r="O9" s="11"/>
      <c r="P9" s="42" t="str">
        <f t="shared" si="1"/>
        <v>Enter data here</v>
      </c>
      <c r="Q9" s="42" t="str">
        <f t="shared" si="2"/>
        <v>Use column to left</v>
      </c>
      <c r="R9" s="23" t="s">
        <v>362</v>
      </c>
      <c r="S9" s="184" t="str">
        <f t="shared" si="3"/>
        <v>Unfilled fields on left</v>
      </c>
      <c r="U9" s="24"/>
    </row>
    <row r="10" spans="2:22">
      <c r="B10" s="182" t="s">
        <v>191</v>
      </c>
      <c r="C10" s="183" t="s">
        <v>192</v>
      </c>
      <c r="D10" s="9" t="s">
        <v>309</v>
      </c>
      <c r="E10" s="19"/>
      <c r="F10" s="17"/>
      <c r="G10" s="17"/>
      <c r="H10" s="16"/>
      <c r="I10" s="16"/>
      <c r="J10" s="16"/>
      <c r="K10" s="16"/>
      <c r="L10" s="54">
        <f t="shared" si="0"/>
        <v>0</v>
      </c>
      <c r="M10" s="11"/>
      <c r="N10" s="11"/>
      <c r="O10" s="11"/>
      <c r="P10" s="42" t="str">
        <f t="shared" si="1"/>
        <v>Enter data here</v>
      </c>
      <c r="Q10" s="42" t="str">
        <f t="shared" si="2"/>
        <v>Use column to left</v>
      </c>
      <c r="R10" s="23" t="s">
        <v>362</v>
      </c>
      <c r="S10" s="184" t="str">
        <f t="shared" si="3"/>
        <v>Unfilled fields on left</v>
      </c>
      <c r="U10" s="24"/>
      <c r="V10" s="4"/>
    </row>
    <row r="11" spans="2:22">
      <c r="B11" s="182" t="s">
        <v>191</v>
      </c>
      <c r="C11" s="183" t="s">
        <v>305</v>
      </c>
      <c r="D11" s="9" t="s">
        <v>309</v>
      </c>
      <c r="E11" s="19"/>
      <c r="F11" s="17"/>
      <c r="G11" s="17"/>
      <c r="H11" s="16"/>
      <c r="I11" s="16"/>
      <c r="J11" s="16"/>
      <c r="K11" s="16"/>
      <c r="L11" s="54">
        <f t="shared" si="0"/>
        <v>0</v>
      </c>
      <c r="M11" s="11"/>
      <c r="N11" s="11"/>
      <c r="O11" s="11"/>
      <c r="P11" s="42" t="str">
        <f t="shared" si="1"/>
        <v>Enter data here</v>
      </c>
      <c r="Q11" s="42" t="str">
        <f t="shared" si="2"/>
        <v>Use column to left</v>
      </c>
      <c r="R11" s="23" t="s">
        <v>362</v>
      </c>
      <c r="S11" s="184" t="str">
        <f t="shared" si="3"/>
        <v>Unfilled fields on left</v>
      </c>
      <c r="U11" s="24"/>
      <c r="V11" s="4"/>
    </row>
    <row r="12" spans="2:22">
      <c r="B12" s="182" t="s">
        <v>308</v>
      </c>
      <c r="C12" s="183" t="s">
        <v>306</v>
      </c>
      <c r="D12" s="9" t="s">
        <v>309</v>
      </c>
      <c r="E12" s="19"/>
      <c r="F12" s="17"/>
      <c r="G12" s="17"/>
      <c r="H12" s="16"/>
      <c r="I12" s="16"/>
      <c r="J12" s="16"/>
      <c r="K12" s="16"/>
      <c r="L12" s="54">
        <f t="shared" si="0"/>
        <v>0</v>
      </c>
      <c r="M12" s="11"/>
      <c r="N12" s="11"/>
      <c r="O12" s="11"/>
      <c r="P12" s="42" t="str">
        <f t="shared" si="1"/>
        <v>Enter data here</v>
      </c>
      <c r="Q12" s="42" t="str">
        <f t="shared" si="2"/>
        <v>Use column to left</v>
      </c>
      <c r="R12" s="23" t="s">
        <v>362</v>
      </c>
      <c r="S12" s="184" t="str">
        <f t="shared" si="3"/>
        <v>Unfilled fields on left</v>
      </c>
      <c r="U12" s="24"/>
      <c r="V12" s="4"/>
    </row>
    <row r="13" spans="2:22">
      <c r="B13" s="182" t="s">
        <v>308</v>
      </c>
      <c r="C13" s="183" t="s">
        <v>307</v>
      </c>
      <c r="D13" s="9" t="s">
        <v>309</v>
      </c>
      <c r="E13" s="19"/>
      <c r="F13" s="17"/>
      <c r="G13" s="17"/>
      <c r="H13" s="16"/>
      <c r="I13" s="16"/>
      <c r="J13" s="16"/>
      <c r="K13" s="16"/>
      <c r="L13" s="54">
        <f t="shared" si="0"/>
        <v>0</v>
      </c>
      <c r="M13" s="11"/>
      <c r="N13" s="11"/>
      <c r="O13" s="11"/>
      <c r="P13" s="42" t="str">
        <f t="shared" si="1"/>
        <v>Enter data here</v>
      </c>
      <c r="Q13" s="42" t="str">
        <f t="shared" si="2"/>
        <v>Use column to left</v>
      </c>
      <c r="R13" s="23" t="s">
        <v>362</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362</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183</v>
      </c>
      <c r="C16" s="177"/>
      <c r="D16" s="177"/>
      <c r="E16" s="178"/>
      <c r="F16" s="177"/>
      <c r="G16" s="179"/>
      <c r="H16" s="180"/>
      <c r="I16" s="180"/>
      <c r="J16" s="180"/>
      <c r="K16" s="180"/>
      <c r="L16" s="180"/>
      <c r="M16" s="41"/>
      <c r="N16" s="15"/>
      <c r="O16" s="11"/>
      <c r="P16" s="22"/>
      <c r="Q16" s="22"/>
      <c r="R16" s="22"/>
      <c r="S16" s="186"/>
      <c r="U16" s="27"/>
      <c r="V16" s="4"/>
    </row>
    <row r="17" spans="2:22" s="11" customFormat="1">
      <c r="B17" s="10" t="s">
        <v>184</v>
      </c>
      <c r="C17" s="183" t="s">
        <v>340</v>
      </c>
      <c r="D17" s="9" t="s">
        <v>309</v>
      </c>
      <c r="E17" s="44"/>
      <c r="F17" s="17"/>
      <c r="G17" s="17"/>
      <c r="H17" s="17"/>
      <c r="I17" s="17" t="s">
        <v>185</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188</v>
      </c>
      <c r="C18" s="183" t="s">
        <v>317</v>
      </c>
      <c r="D18" s="9" t="s">
        <v>309</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188</v>
      </c>
      <c r="C19" s="183" t="s">
        <v>318</v>
      </c>
      <c r="D19" s="9" t="s">
        <v>309</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186</v>
      </c>
      <c r="C20" s="183" t="s">
        <v>319</v>
      </c>
      <c r="D20" s="9" t="s">
        <v>309</v>
      </c>
      <c r="E20" s="19"/>
      <c r="F20" s="17"/>
      <c r="G20" s="17"/>
      <c r="H20" s="16"/>
      <c r="I20" s="16"/>
      <c r="J20" s="16"/>
      <c r="K20" s="16"/>
      <c r="L20" s="54">
        <f t="shared" si="4"/>
        <v>0</v>
      </c>
      <c r="M20" s="11"/>
      <c r="N20" s="11"/>
      <c r="O20" s="11"/>
      <c r="P20" s="22"/>
      <c r="Q20" s="22"/>
      <c r="R20" s="22"/>
      <c r="S20" s="22"/>
      <c r="U20" s="17"/>
    </row>
    <row r="21" spans="2:22" s="7" customFormat="1">
      <c r="B21" s="182" t="s">
        <v>186</v>
      </c>
      <c r="C21" s="183" t="s">
        <v>355</v>
      </c>
      <c r="D21" s="9" t="s">
        <v>309</v>
      </c>
      <c r="E21" s="19"/>
      <c r="F21" s="17"/>
      <c r="G21" s="17"/>
      <c r="H21" s="16"/>
      <c r="I21" s="16"/>
      <c r="J21" s="16"/>
      <c r="K21" s="16"/>
      <c r="L21" s="54">
        <f t="shared" si="4"/>
        <v>0</v>
      </c>
      <c r="M21" s="11"/>
      <c r="N21" s="11"/>
      <c r="O21" s="11"/>
      <c r="P21" s="22"/>
      <c r="Q21" s="22"/>
      <c r="R21" s="22"/>
      <c r="S21" s="22"/>
      <c r="U21" s="17"/>
    </row>
    <row r="22" spans="2:22" s="7" customFormat="1">
      <c r="B22" s="182" t="s">
        <v>189</v>
      </c>
      <c r="C22" s="183" t="s">
        <v>320</v>
      </c>
      <c r="D22" s="9" t="s">
        <v>309</v>
      </c>
      <c r="E22" s="44"/>
      <c r="F22" s="17"/>
      <c r="G22" s="17"/>
      <c r="H22" s="16"/>
      <c r="I22" s="45"/>
      <c r="J22" s="42"/>
      <c r="K22" s="16"/>
      <c r="L22" s="54">
        <f t="shared" si="4"/>
        <v>0</v>
      </c>
      <c r="M22" s="11"/>
      <c r="N22" s="11"/>
      <c r="O22" s="11"/>
      <c r="P22" s="22"/>
      <c r="Q22" s="22"/>
      <c r="R22" s="22"/>
      <c r="S22" s="22"/>
      <c r="U22" s="17"/>
    </row>
    <row r="23" spans="2:22" s="7" customFormat="1">
      <c r="B23" s="182" t="s">
        <v>189</v>
      </c>
      <c r="C23" s="183" t="s">
        <v>190</v>
      </c>
      <c r="D23" s="9" t="s">
        <v>309</v>
      </c>
      <c r="E23" s="19"/>
      <c r="F23" s="17"/>
      <c r="G23" s="17"/>
      <c r="H23" s="16"/>
      <c r="I23" s="16"/>
      <c r="J23" s="16"/>
      <c r="K23" s="16"/>
      <c r="L23" s="54">
        <f t="shared" si="4"/>
        <v>0</v>
      </c>
      <c r="M23" s="11"/>
      <c r="N23" s="11"/>
      <c r="O23" s="11"/>
      <c r="P23" s="22"/>
      <c r="Q23" s="22"/>
      <c r="R23" s="22"/>
      <c r="S23" s="22"/>
      <c r="U23" s="17"/>
    </row>
    <row r="24" spans="2:22" s="7" customFormat="1">
      <c r="B24" s="182" t="s">
        <v>321</v>
      </c>
      <c r="C24" s="183" t="s">
        <v>322</v>
      </c>
      <c r="D24" s="9" t="s">
        <v>309</v>
      </c>
      <c r="E24" s="19"/>
      <c r="F24" s="17"/>
      <c r="G24" s="17"/>
      <c r="H24" s="16"/>
      <c r="I24" s="16"/>
      <c r="J24" s="16"/>
      <c r="K24" s="16"/>
      <c r="L24" s="54">
        <f t="shared" si="4"/>
        <v>0</v>
      </c>
      <c r="M24" s="11"/>
      <c r="N24" s="11"/>
      <c r="O24" s="11"/>
      <c r="P24" s="23">
        <v>1000</v>
      </c>
      <c r="Q24" s="22"/>
      <c r="R24" s="23" t="s">
        <v>327</v>
      </c>
      <c r="S24" s="184" t="str">
        <f>IFERROR(IF(D24="tonnes/yr", $P24*$E24/($L$17*3.6), $Q24*$E24*3.6/($L$17*3.6)), "Unfilled fields on left")</f>
        <v>Unfilled fields on left</v>
      </c>
      <c r="U24" s="17"/>
    </row>
    <row r="25" spans="2:22" s="7" customFormat="1">
      <c r="B25" s="182" t="s">
        <v>323</v>
      </c>
      <c r="C25" s="183" t="s">
        <v>324</v>
      </c>
      <c r="D25" s="9" t="s">
        <v>309</v>
      </c>
      <c r="E25" s="19"/>
      <c r="F25" s="17"/>
      <c r="G25" s="17"/>
      <c r="H25" s="16"/>
      <c r="I25" s="16"/>
      <c r="J25" s="16"/>
      <c r="K25" s="16"/>
      <c r="L25" s="54">
        <f t="shared" si="4"/>
        <v>0</v>
      </c>
      <c r="M25" s="11"/>
      <c r="N25" s="11"/>
      <c r="O25" s="11"/>
      <c r="P25" s="23">
        <v>28000</v>
      </c>
      <c r="Q25" s="22"/>
      <c r="R25" s="23" t="s">
        <v>328</v>
      </c>
      <c r="S25" s="184" t="str">
        <f>IFERROR(IF(D25="tonnes/yr", $P25*$E25/($L$17*3.6), $Q25*$E25*3.6/($L$17*3.6)), "Unfilled fields on left")</f>
        <v>Unfilled fields on left</v>
      </c>
      <c r="U25" s="17"/>
    </row>
    <row r="26" spans="2:22" s="7" customFormat="1">
      <c r="B26" s="182" t="s">
        <v>323</v>
      </c>
      <c r="C26" s="183" t="s">
        <v>325</v>
      </c>
      <c r="D26" s="9" t="s">
        <v>309</v>
      </c>
      <c r="E26" s="19"/>
      <c r="F26" s="17"/>
      <c r="G26" s="17"/>
      <c r="H26" s="16"/>
      <c r="I26" s="16"/>
      <c r="J26" s="16"/>
      <c r="K26" s="16"/>
      <c r="L26" s="54">
        <f t="shared" si="4"/>
        <v>0</v>
      </c>
      <c r="M26" s="11"/>
      <c r="N26" s="11"/>
      <c r="O26" s="11"/>
      <c r="P26" s="23">
        <v>265000</v>
      </c>
      <c r="Q26" s="22"/>
      <c r="R26" s="23" t="s">
        <v>328</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168</v>
      </c>
      <c r="S35" s="187">
        <f>SUM(S4:S34)</f>
        <v>0</v>
      </c>
      <c r="V35" s="4"/>
    </row>
    <row r="36" spans="2:22">
      <c r="B36" s="181" t="s">
        <v>329</v>
      </c>
      <c r="C36" s="177"/>
      <c r="D36" s="177"/>
      <c r="E36" s="177"/>
      <c r="M36" s="4"/>
      <c r="V36" s="4"/>
    </row>
    <row r="37" spans="2:22">
      <c r="B37" s="10" t="s">
        <v>330</v>
      </c>
      <c r="C37" s="9" t="s">
        <v>331</v>
      </c>
      <c r="D37" s="9" t="s">
        <v>169</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F4724EE7-CB68-49FF-9A96-AA7373578E86}">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2:V40"/>
  <sheetViews>
    <sheetView showGridLines="0" zoomScaleNormal="100" workbookViewId="0"/>
  </sheetViews>
  <sheetFormatPr defaultColWidth="7.21875" defaultRowHeight="14.4"/>
  <cols>
    <col min="1" max="1" width="5.21875" style="4" customWidth="1"/>
    <col min="2" max="2" width="25" style="4" bestFit="1" customWidth="1"/>
    <col min="3" max="3" width="39" style="4" bestFit="1" customWidth="1"/>
    <col min="4" max="4" width="13.44140625" style="4" customWidth="1"/>
    <col min="5" max="5" width="15.33203125" style="6" customWidth="1"/>
    <col min="6" max="6" width="20.88671875" style="4" customWidth="1"/>
    <col min="7" max="7" width="17" style="4" customWidth="1"/>
    <col min="8" max="8" width="12.77734375" style="5" customWidth="1"/>
    <col min="9" max="9" width="17.44140625" style="5" customWidth="1"/>
    <col min="10" max="11" width="14.21875" style="5" customWidth="1"/>
    <col min="12" max="12" width="14" style="5" customWidth="1"/>
    <col min="13" max="13" width="7.21875" style="1"/>
    <col min="14" max="14" width="18.77734375" style="4" customWidth="1"/>
    <col min="15" max="15" width="17.5546875" style="4" customWidth="1"/>
    <col min="16" max="17" width="20.77734375" style="5" customWidth="1"/>
    <col min="18" max="18" width="16.21875" style="5" customWidth="1"/>
    <col min="19" max="19" width="20.21875" style="48" customWidth="1"/>
    <col min="20" max="20" width="7.21875" style="4" customWidth="1"/>
    <col min="21" max="21" width="21.33203125" style="4" customWidth="1"/>
    <col min="22" max="22" width="7.21875" style="1"/>
    <col min="23" max="16384" width="7.21875" style="4"/>
  </cols>
  <sheetData>
    <row r="2" spans="2:22" ht="87" thickBot="1">
      <c r="B2" s="3" t="s">
        <v>170</v>
      </c>
      <c r="C2" s="3" t="s">
        <v>171</v>
      </c>
      <c r="D2" s="3" t="s">
        <v>8</v>
      </c>
      <c r="E2" s="8" t="s">
        <v>172</v>
      </c>
      <c r="F2" s="38" t="s">
        <v>297</v>
      </c>
      <c r="G2" s="38" t="s">
        <v>298</v>
      </c>
      <c r="H2" s="38" t="s">
        <v>173</v>
      </c>
      <c r="I2" s="38" t="s">
        <v>299</v>
      </c>
      <c r="J2" s="38" t="s">
        <v>300</v>
      </c>
      <c r="K2" s="38" t="s">
        <v>301</v>
      </c>
      <c r="L2" s="38" t="s">
        <v>302</v>
      </c>
      <c r="M2" s="38"/>
      <c r="N2" s="39" t="s">
        <v>311</v>
      </c>
      <c r="O2" s="39" t="s">
        <v>312</v>
      </c>
      <c r="P2" s="38" t="s">
        <v>313</v>
      </c>
      <c r="Q2" s="38" t="s">
        <v>314</v>
      </c>
      <c r="R2" s="38" t="s">
        <v>174</v>
      </c>
      <c r="S2" s="47" t="s">
        <v>315</v>
      </c>
      <c r="T2" s="47"/>
      <c r="U2" s="38" t="s">
        <v>175</v>
      </c>
    </row>
    <row r="3" spans="2:22" ht="15" thickTop="1"/>
    <row r="4" spans="2:22">
      <c r="B4" s="181" t="s">
        <v>176</v>
      </c>
      <c r="C4" s="177"/>
      <c r="D4" s="177"/>
      <c r="E4" s="178"/>
      <c r="F4" s="177"/>
      <c r="G4" s="179"/>
      <c r="H4" s="180"/>
      <c r="I4" s="180"/>
      <c r="J4" s="180"/>
      <c r="K4" s="180"/>
      <c r="L4" s="180"/>
      <c r="N4" s="11"/>
      <c r="P4" s="14"/>
      <c r="Q4" s="14"/>
      <c r="R4" s="14"/>
      <c r="S4" s="49"/>
      <c r="U4" s="11"/>
      <c r="V4" s="4"/>
    </row>
    <row r="5" spans="2:22" s="11" customFormat="1">
      <c r="B5" s="10" t="s">
        <v>177</v>
      </c>
      <c r="C5" s="183" t="s">
        <v>340</v>
      </c>
      <c r="D5" s="9" t="s">
        <v>309</v>
      </c>
      <c r="E5" s="43"/>
      <c r="F5" s="17"/>
      <c r="G5" s="17"/>
      <c r="H5" s="16"/>
      <c r="I5" s="16" t="s">
        <v>185</v>
      </c>
      <c r="J5" s="42"/>
      <c r="K5" s="16"/>
      <c r="L5" s="54">
        <f>IF($D5="MWh/yr (LHV)",$E5,$J5*$E5/3.6)</f>
        <v>0</v>
      </c>
      <c r="P5" s="42" t="str">
        <f>IF(B5="", "", IF(D5="MWh/yr (LHV)", "Use column to right", "Enter data here"))</f>
        <v>Enter data here</v>
      </c>
      <c r="Q5" s="42" t="str">
        <f>IF(B5="", "", IF(D5="MWh/yr (LHV)", "Enter data here", "Use column to left"))</f>
        <v>Use column to left</v>
      </c>
      <c r="R5" s="23" t="s">
        <v>362</v>
      </c>
      <c r="S5" s="184" t="str">
        <f>IFERROR(IF(D5="tonnes/yr", $P5*$E5/($L$17*3.6), $Q5*$E5*3.6/($L$17*3.6)), "Unfilled fields on left")</f>
        <v>Unfilled fields on left</v>
      </c>
      <c r="U5" s="23"/>
    </row>
    <row r="6" spans="2:22" s="11" customFormat="1">
      <c r="B6" s="182" t="s">
        <v>179</v>
      </c>
      <c r="C6" s="183" t="s">
        <v>180</v>
      </c>
      <c r="D6" s="9" t="s">
        <v>310</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362</v>
      </c>
      <c r="S6" s="184" t="str">
        <f t="shared" ref="S6:S14" si="3">IFERROR(IF(D6="tonnes/yr", $P6*$E6/($L$17*3.6), $Q6*$E6*3.6/($L$17*3.6)), "Unfilled fields on left")</f>
        <v>Unfilled fields on left</v>
      </c>
      <c r="U6" s="17"/>
    </row>
    <row r="7" spans="2:22">
      <c r="B7" s="182" t="s">
        <v>179</v>
      </c>
      <c r="C7" s="183" t="s">
        <v>187</v>
      </c>
      <c r="D7" s="9" t="s">
        <v>310</v>
      </c>
      <c r="E7" s="18"/>
      <c r="F7" s="17"/>
      <c r="G7" s="17"/>
      <c r="H7" s="16"/>
      <c r="I7" s="16"/>
      <c r="J7" s="16"/>
      <c r="K7" s="16"/>
      <c r="L7" s="54">
        <f t="shared" si="0"/>
        <v>0</v>
      </c>
      <c r="M7" s="11"/>
      <c r="N7" s="11"/>
      <c r="O7" s="11"/>
      <c r="P7" s="42" t="str">
        <f t="shared" si="1"/>
        <v>Use column to right</v>
      </c>
      <c r="Q7" s="42" t="str">
        <f t="shared" si="2"/>
        <v>Enter data here</v>
      </c>
      <c r="R7" s="23" t="s">
        <v>362</v>
      </c>
      <c r="S7" s="184" t="str">
        <f t="shared" si="3"/>
        <v>Unfilled fields on left</v>
      </c>
      <c r="U7" s="17"/>
      <c r="V7" s="4"/>
    </row>
    <row r="8" spans="2:22" s="7" customFormat="1">
      <c r="B8" s="182" t="s">
        <v>179</v>
      </c>
      <c r="C8" s="183" t="s">
        <v>182</v>
      </c>
      <c r="D8" s="9" t="s">
        <v>309</v>
      </c>
      <c r="E8" s="19"/>
      <c r="F8" s="17"/>
      <c r="G8" s="17"/>
      <c r="H8" s="16"/>
      <c r="I8" s="16"/>
      <c r="J8" s="16"/>
      <c r="K8" s="16"/>
      <c r="L8" s="54">
        <f t="shared" si="0"/>
        <v>0</v>
      </c>
      <c r="M8" s="11"/>
      <c r="N8" s="11"/>
      <c r="O8" s="11"/>
      <c r="P8" s="42" t="str">
        <f t="shared" si="1"/>
        <v>Enter data here</v>
      </c>
      <c r="Q8" s="42" t="str">
        <f t="shared" si="2"/>
        <v>Use column to left</v>
      </c>
      <c r="R8" s="23" t="s">
        <v>362</v>
      </c>
      <c r="S8" s="184" t="str">
        <f t="shared" si="3"/>
        <v>Unfilled fields on left</v>
      </c>
      <c r="U8" s="24"/>
    </row>
    <row r="9" spans="2:22" s="7" customFormat="1">
      <c r="B9" s="182" t="s">
        <v>179</v>
      </c>
      <c r="C9" s="183" t="s">
        <v>304</v>
      </c>
      <c r="D9" s="9" t="s">
        <v>309</v>
      </c>
      <c r="E9" s="19"/>
      <c r="F9" s="17"/>
      <c r="G9" s="17"/>
      <c r="H9" s="16"/>
      <c r="I9" s="16"/>
      <c r="J9" s="16"/>
      <c r="K9" s="16"/>
      <c r="L9" s="54">
        <f t="shared" si="0"/>
        <v>0</v>
      </c>
      <c r="M9" s="11"/>
      <c r="N9" s="11"/>
      <c r="O9" s="11"/>
      <c r="P9" s="42" t="str">
        <f t="shared" si="1"/>
        <v>Enter data here</v>
      </c>
      <c r="Q9" s="42" t="str">
        <f t="shared" si="2"/>
        <v>Use column to left</v>
      </c>
      <c r="R9" s="23" t="s">
        <v>362</v>
      </c>
      <c r="S9" s="184" t="str">
        <f t="shared" si="3"/>
        <v>Unfilled fields on left</v>
      </c>
      <c r="U9" s="24"/>
    </row>
    <row r="10" spans="2:22">
      <c r="B10" s="182" t="s">
        <v>191</v>
      </c>
      <c r="C10" s="183" t="s">
        <v>192</v>
      </c>
      <c r="D10" s="9" t="s">
        <v>309</v>
      </c>
      <c r="E10" s="19"/>
      <c r="F10" s="17"/>
      <c r="G10" s="17"/>
      <c r="H10" s="16"/>
      <c r="I10" s="16"/>
      <c r="J10" s="16"/>
      <c r="K10" s="16"/>
      <c r="L10" s="54">
        <f t="shared" si="0"/>
        <v>0</v>
      </c>
      <c r="M10" s="11"/>
      <c r="N10" s="11"/>
      <c r="O10" s="11"/>
      <c r="P10" s="42" t="str">
        <f t="shared" si="1"/>
        <v>Enter data here</v>
      </c>
      <c r="Q10" s="42" t="str">
        <f t="shared" si="2"/>
        <v>Use column to left</v>
      </c>
      <c r="R10" s="23" t="s">
        <v>362</v>
      </c>
      <c r="S10" s="184" t="str">
        <f t="shared" si="3"/>
        <v>Unfilled fields on left</v>
      </c>
      <c r="U10" s="24"/>
      <c r="V10" s="4"/>
    </row>
    <row r="11" spans="2:22">
      <c r="B11" s="182" t="s">
        <v>191</v>
      </c>
      <c r="C11" s="183" t="s">
        <v>305</v>
      </c>
      <c r="D11" s="9" t="s">
        <v>309</v>
      </c>
      <c r="E11" s="19"/>
      <c r="F11" s="17"/>
      <c r="G11" s="17"/>
      <c r="H11" s="16"/>
      <c r="I11" s="16"/>
      <c r="J11" s="16"/>
      <c r="K11" s="16"/>
      <c r="L11" s="54">
        <f t="shared" si="0"/>
        <v>0</v>
      </c>
      <c r="M11" s="11"/>
      <c r="N11" s="11"/>
      <c r="O11" s="11"/>
      <c r="P11" s="42" t="str">
        <f t="shared" si="1"/>
        <v>Enter data here</v>
      </c>
      <c r="Q11" s="42" t="str">
        <f t="shared" si="2"/>
        <v>Use column to left</v>
      </c>
      <c r="R11" s="23" t="s">
        <v>362</v>
      </c>
      <c r="S11" s="184" t="str">
        <f t="shared" si="3"/>
        <v>Unfilled fields on left</v>
      </c>
      <c r="U11" s="24"/>
      <c r="V11" s="4"/>
    </row>
    <row r="12" spans="2:22">
      <c r="B12" s="182" t="s">
        <v>308</v>
      </c>
      <c r="C12" s="183" t="s">
        <v>306</v>
      </c>
      <c r="D12" s="9" t="s">
        <v>309</v>
      </c>
      <c r="E12" s="19"/>
      <c r="F12" s="17"/>
      <c r="G12" s="17"/>
      <c r="H12" s="16"/>
      <c r="I12" s="16"/>
      <c r="J12" s="16"/>
      <c r="K12" s="16"/>
      <c r="L12" s="54">
        <f t="shared" si="0"/>
        <v>0</v>
      </c>
      <c r="M12" s="11"/>
      <c r="N12" s="11"/>
      <c r="O12" s="11"/>
      <c r="P12" s="42" t="str">
        <f t="shared" si="1"/>
        <v>Enter data here</v>
      </c>
      <c r="Q12" s="42" t="str">
        <f t="shared" si="2"/>
        <v>Use column to left</v>
      </c>
      <c r="R12" s="23" t="s">
        <v>362</v>
      </c>
      <c r="S12" s="184" t="str">
        <f t="shared" si="3"/>
        <v>Unfilled fields on left</v>
      </c>
      <c r="U12" s="24"/>
      <c r="V12" s="4"/>
    </row>
    <row r="13" spans="2:22">
      <c r="B13" s="182" t="s">
        <v>308</v>
      </c>
      <c r="C13" s="183" t="s">
        <v>307</v>
      </c>
      <c r="D13" s="9" t="s">
        <v>309</v>
      </c>
      <c r="E13" s="19"/>
      <c r="F13" s="17"/>
      <c r="G13" s="17"/>
      <c r="H13" s="16"/>
      <c r="I13" s="16"/>
      <c r="J13" s="16"/>
      <c r="K13" s="16"/>
      <c r="L13" s="54">
        <f t="shared" si="0"/>
        <v>0</v>
      </c>
      <c r="M13" s="11"/>
      <c r="N13" s="11"/>
      <c r="O13" s="11"/>
      <c r="P13" s="42" t="str">
        <f t="shared" si="1"/>
        <v>Enter data here</v>
      </c>
      <c r="Q13" s="42" t="str">
        <f t="shared" si="2"/>
        <v>Use column to left</v>
      </c>
      <c r="R13" s="23" t="s">
        <v>362</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362</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183</v>
      </c>
      <c r="C16" s="177"/>
      <c r="D16" s="177"/>
      <c r="E16" s="178"/>
      <c r="F16" s="177"/>
      <c r="G16" s="179"/>
      <c r="H16" s="180"/>
      <c r="I16" s="180"/>
      <c r="J16" s="180"/>
      <c r="K16" s="180"/>
      <c r="L16" s="180"/>
      <c r="M16" s="41"/>
      <c r="N16" s="15"/>
      <c r="O16" s="11"/>
      <c r="P16" s="22"/>
      <c r="Q16" s="22"/>
      <c r="R16" s="22"/>
      <c r="S16" s="186"/>
      <c r="U16" s="27"/>
      <c r="V16" s="4"/>
    </row>
    <row r="17" spans="2:22" s="11" customFormat="1">
      <c r="B17" s="10" t="s">
        <v>184</v>
      </c>
      <c r="C17" s="183" t="s">
        <v>340</v>
      </c>
      <c r="D17" s="9" t="s">
        <v>309</v>
      </c>
      <c r="E17" s="44"/>
      <c r="F17" s="17"/>
      <c r="G17" s="17"/>
      <c r="H17" s="17"/>
      <c r="I17" s="17" t="s">
        <v>185</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188</v>
      </c>
      <c r="C18" s="183" t="s">
        <v>317</v>
      </c>
      <c r="D18" s="9" t="s">
        <v>309</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188</v>
      </c>
      <c r="C19" s="183" t="s">
        <v>318</v>
      </c>
      <c r="D19" s="9" t="s">
        <v>309</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186</v>
      </c>
      <c r="C20" s="183" t="s">
        <v>319</v>
      </c>
      <c r="D20" s="9" t="s">
        <v>309</v>
      </c>
      <c r="E20" s="19"/>
      <c r="F20" s="17"/>
      <c r="G20" s="17"/>
      <c r="H20" s="16"/>
      <c r="I20" s="16"/>
      <c r="J20" s="16"/>
      <c r="K20" s="16"/>
      <c r="L20" s="54">
        <f t="shared" si="4"/>
        <v>0</v>
      </c>
      <c r="M20" s="11"/>
      <c r="N20" s="11"/>
      <c r="O20" s="11"/>
      <c r="P20" s="22"/>
      <c r="Q20" s="22"/>
      <c r="R20" s="22"/>
      <c r="S20" s="22"/>
      <c r="U20" s="17"/>
    </row>
    <row r="21" spans="2:22" s="7" customFormat="1">
      <c r="B21" s="182" t="s">
        <v>186</v>
      </c>
      <c r="C21" s="183" t="s">
        <v>355</v>
      </c>
      <c r="D21" s="9" t="s">
        <v>309</v>
      </c>
      <c r="E21" s="19"/>
      <c r="F21" s="17"/>
      <c r="G21" s="17"/>
      <c r="H21" s="16"/>
      <c r="I21" s="16"/>
      <c r="J21" s="16"/>
      <c r="K21" s="16"/>
      <c r="L21" s="54">
        <f t="shared" si="4"/>
        <v>0</v>
      </c>
      <c r="M21" s="11"/>
      <c r="N21" s="11"/>
      <c r="O21" s="11"/>
      <c r="P21" s="22"/>
      <c r="Q21" s="22"/>
      <c r="R21" s="22"/>
      <c r="S21" s="22"/>
      <c r="U21" s="17"/>
    </row>
    <row r="22" spans="2:22" s="7" customFormat="1">
      <c r="B22" s="182" t="s">
        <v>189</v>
      </c>
      <c r="C22" s="183" t="s">
        <v>320</v>
      </c>
      <c r="D22" s="9" t="s">
        <v>309</v>
      </c>
      <c r="E22" s="44"/>
      <c r="F22" s="17"/>
      <c r="G22" s="17"/>
      <c r="H22" s="16"/>
      <c r="I22" s="45"/>
      <c r="J22" s="42"/>
      <c r="K22" s="16"/>
      <c r="L22" s="54">
        <f t="shared" si="4"/>
        <v>0</v>
      </c>
      <c r="M22" s="11"/>
      <c r="N22" s="11"/>
      <c r="O22" s="11"/>
      <c r="P22" s="22"/>
      <c r="Q22" s="22"/>
      <c r="R22" s="22"/>
      <c r="S22" s="22"/>
      <c r="U22" s="17"/>
    </row>
    <row r="23" spans="2:22" s="7" customFormat="1">
      <c r="B23" s="182" t="s">
        <v>189</v>
      </c>
      <c r="C23" s="183" t="s">
        <v>190</v>
      </c>
      <c r="D23" s="9" t="s">
        <v>309</v>
      </c>
      <c r="E23" s="19"/>
      <c r="F23" s="17"/>
      <c r="G23" s="17"/>
      <c r="H23" s="16"/>
      <c r="I23" s="16"/>
      <c r="J23" s="16"/>
      <c r="K23" s="16"/>
      <c r="L23" s="54">
        <f t="shared" si="4"/>
        <v>0</v>
      </c>
      <c r="M23" s="11"/>
      <c r="N23" s="11"/>
      <c r="O23" s="11"/>
      <c r="P23" s="22"/>
      <c r="Q23" s="22"/>
      <c r="R23" s="22"/>
      <c r="S23" s="22"/>
      <c r="U23" s="17"/>
    </row>
    <row r="24" spans="2:22" s="7" customFormat="1">
      <c r="B24" s="182" t="s">
        <v>321</v>
      </c>
      <c r="C24" s="183" t="s">
        <v>322</v>
      </c>
      <c r="D24" s="9" t="s">
        <v>309</v>
      </c>
      <c r="E24" s="19"/>
      <c r="F24" s="17"/>
      <c r="G24" s="17"/>
      <c r="H24" s="16"/>
      <c r="I24" s="16"/>
      <c r="J24" s="16"/>
      <c r="K24" s="16"/>
      <c r="L24" s="54">
        <f t="shared" si="4"/>
        <v>0</v>
      </c>
      <c r="M24" s="11"/>
      <c r="N24" s="11"/>
      <c r="O24" s="11"/>
      <c r="P24" s="23">
        <v>1000</v>
      </c>
      <c r="Q24" s="22"/>
      <c r="R24" s="23" t="s">
        <v>327</v>
      </c>
      <c r="S24" s="184" t="str">
        <f>IFERROR(IF(D24="tonnes/yr", $P24*$E24/($L$17*3.6), $Q24*$E24*3.6/($L$17*3.6)), "Unfilled fields on left")</f>
        <v>Unfilled fields on left</v>
      </c>
      <c r="U24" s="17"/>
    </row>
    <row r="25" spans="2:22" s="7" customFormat="1">
      <c r="B25" s="182" t="s">
        <v>323</v>
      </c>
      <c r="C25" s="183" t="s">
        <v>324</v>
      </c>
      <c r="D25" s="9" t="s">
        <v>309</v>
      </c>
      <c r="E25" s="19"/>
      <c r="F25" s="17"/>
      <c r="G25" s="17"/>
      <c r="H25" s="16"/>
      <c r="I25" s="16"/>
      <c r="J25" s="16"/>
      <c r="K25" s="16"/>
      <c r="L25" s="54">
        <f t="shared" si="4"/>
        <v>0</v>
      </c>
      <c r="M25" s="11"/>
      <c r="N25" s="11"/>
      <c r="O25" s="11"/>
      <c r="P25" s="23">
        <v>28000</v>
      </c>
      <c r="Q25" s="22"/>
      <c r="R25" s="23" t="s">
        <v>328</v>
      </c>
      <c r="S25" s="184" t="str">
        <f>IFERROR(IF(D25="tonnes/yr", $P25*$E25/($L$17*3.6), $Q25*$E25*3.6/($L$17*3.6)), "Unfilled fields on left")</f>
        <v>Unfilled fields on left</v>
      </c>
      <c r="U25" s="17"/>
    </row>
    <row r="26" spans="2:22" s="7" customFormat="1">
      <c r="B26" s="182" t="s">
        <v>323</v>
      </c>
      <c r="C26" s="183" t="s">
        <v>325</v>
      </c>
      <c r="D26" s="9" t="s">
        <v>309</v>
      </c>
      <c r="E26" s="19"/>
      <c r="F26" s="17"/>
      <c r="G26" s="17"/>
      <c r="H26" s="16"/>
      <c r="I26" s="16"/>
      <c r="J26" s="16"/>
      <c r="K26" s="16"/>
      <c r="L26" s="54">
        <f t="shared" si="4"/>
        <v>0</v>
      </c>
      <c r="M26" s="11"/>
      <c r="N26" s="11"/>
      <c r="O26" s="11"/>
      <c r="P26" s="23">
        <v>265000</v>
      </c>
      <c r="Q26" s="22"/>
      <c r="R26" s="23" t="s">
        <v>328</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168</v>
      </c>
      <c r="S35" s="187">
        <f>SUM(S4:S34)</f>
        <v>0</v>
      </c>
      <c r="V35" s="4"/>
    </row>
    <row r="36" spans="2:22">
      <c r="B36" s="181" t="s">
        <v>329</v>
      </c>
      <c r="C36" s="177"/>
      <c r="D36" s="177"/>
      <c r="E36" s="177"/>
      <c r="M36" s="4"/>
      <c r="V36" s="4"/>
    </row>
    <row r="37" spans="2:22">
      <c r="B37" s="10" t="s">
        <v>330</v>
      </c>
      <c r="C37" s="9" t="s">
        <v>331</v>
      </c>
      <c r="D37" s="9" t="s">
        <v>169</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066AF23F-F558-4AFC-BD0C-8B53DE9CEE70}">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2:V40"/>
  <sheetViews>
    <sheetView showGridLines="0" zoomScaleNormal="100" workbookViewId="0"/>
  </sheetViews>
  <sheetFormatPr defaultColWidth="7.21875" defaultRowHeight="14.4"/>
  <cols>
    <col min="1" max="1" width="5.21875" style="4" customWidth="1"/>
    <col min="2" max="2" width="25" style="4" bestFit="1" customWidth="1"/>
    <col min="3" max="3" width="39" style="4" bestFit="1" customWidth="1"/>
    <col min="4" max="4" width="13.44140625" style="4" customWidth="1"/>
    <col min="5" max="5" width="15.33203125" style="6" customWidth="1"/>
    <col min="6" max="6" width="20.88671875" style="4" customWidth="1"/>
    <col min="7" max="7" width="17" style="4" customWidth="1"/>
    <col min="8" max="8" width="12.77734375" style="5" customWidth="1"/>
    <col min="9" max="9" width="17.44140625" style="5" customWidth="1"/>
    <col min="10" max="11" width="14.21875" style="5" customWidth="1"/>
    <col min="12" max="12" width="14" style="5" customWidth="1"/>
    <col min="13" max="13" width="7.21875" style="1"/>
    <col min="14" max="14" width="18.77734375" style="4" customWidth="1"/>
    <col min="15" max="15" width="17.5546875" style="4" customWidth="1"/>
    <col min="16" max="17" width="20.77734375" style="5" customWidth="1"/>
    <col min="18" max="18" width="16.21875" style="5" customWidth="1"/>
    <col min="19" max="19" width="20.21875" style="48" customWidth="1"/>
    <col min="20" max="20" width="7.21875" style="4" customWidth="1"/>
    <col min="21" max="21" width="21.33203125" style="4" customWidth="1"/>
    <col min="22" max="22" width="7.21875" style="1"/>
    <col min="23" max="16384" width="7.21875" style="4"/>
  </cols>
  <sheetData>
    <row r="2" spans="2:22" ht="87" thickBot="1">
      <c r="B2" s="3" t="s">
        <v>170</v>
      </c>
      <c r="C2" s="3" t="s">
        <v>171</v>
      </c>
      <c r="D2" s="3" t="s">
        <v>8</v>
      </c>
      <c r="E2" s="8" t="s">
        <v>172</v>
      </c>
      <c r="F2" s="38" t="s">
        <v>297</v>
      </c>
      <c r="G2" s="38" t="s">
        <v>298</v>
      </c>
      <c r="H2" s="38" t="s">
        <v>173</v>
      </c>
      <c r="I2" s="38" t="s">
        <v>299</v>
      </c>
      <c r="J2" s="38" t="s">
        <v>300</v>
      </c>
      <c r="K2" s="38" t="s">
        <v>301</v>
      </c>
      <c r="L2" s="38" t="s">
        <v>302</v>
      </c>
      <c r="M2" s="38"/>
      <c r="N2" s="39" t="s">
        <v>311</v>
      </c>
      <c r="O2" s="39" t="s">
        <v>312</v>
      </c>
      <c r="P2" s="38" t="s">
        <v>313</v>
      </c>
      <c r="Q2" s="38" t="s">
        <v>314</v>
      </c>
      <c r="R2" s="38" t="s">
        <v>174</v>
      </c>
      <c r="S2" s="47" t="s">
        <v>315</v>
      </c>
      <c r="T2" s="47"/>
      <c r="U2" s="38" t="s">
        <v>175</v>
      </c>
    </row>
    <row r="3" spans="2:22" ht="15" thickTop="1"/>
    <row r="4" spans="2:22">
      <c r="B4" s="181" t="s">
        <v>176</v>
      </c>
      <c r="C4" s="177"/>
      <c r="D4" s="177"/>
      <c r="E4" s="178"/>
      <c r="F4" s="177"/>
      <c r="G4" s="179"/>
      <c r="H4" s="180"/>
      <c r="I4" s="180"/>
      <c r="J4" s="180"/>
      <c r="K4" s="180"/>
      <c r="L4" s="180"/>
      <c r="N4" s="11"/>
      <c r="P4" s="14"/>
      <c r="Q4" s="14"/>
      <c r="R4" s="14"/>
      <c r="S4" s="49"/>
      <c r="U4" s="11"/>
      <c r="V4" s="4"/>
    </row>
    <row r="5" spans="2:22" s="11" customFormat="1">
      <c r="B5" s="10" t="s">
        <v>177</v>
      </c>
      <c r="C5" s="183" t="s">
        <v>340</v>
      </c>
      <c r="D5" s="9" t="s">
        <v>309</v>
      </c>
      <c r="E5" s="43"/>
      <c r="F5" s="17"/>
      <c r="G5" s="17"/>
      <c r="H5" s="16"/>
      <c r="I5" s="16" t="s">
        <v>185</v>
      </c>
      <c r="J5" s="42"/>
      <c r="K5" s="16"/>
      <c r="L5" s="54">
        <f>IF($D5="MWh/yr (LHV)",$E5,$J5*$E5/3.6)</f>
        <v>0</v>
      </c>
      <c r="P5" s="42" t="str">
        <f>IF(B5="", "", IF(D5="MWh/yr (LHV)", "Use column to right", "Enter data here"))</f>
        <v>Enter data here</v>
      </c>
      <c r="Q5" s="42" t="str">
        <f>IF(B5="", "", IF(D5="MWh/yr (LHV)", "Enter data here", "Use column to left"))</f>
        <v>Use column to left</v>
      </c>
      <c r="R5" s="23" t="s">
        <v>362</v>
      </c>
      <c r="S5" s="184" t="str">
        <f>IFERROR(IF(D5="tonnes/yr", $P5*$E5/($L$17*3.6), $Q5*$E5*3.6/($L$17*3.6)), "Unfilled fields on left")</f>
        <v>Unfilled fields on left</v>
      </c>
      <c r="U5" s="23"/>
    </row>
    <row r="6" spans="2:22" s="11" customFormat="1">
      <c r="B6" s="182" t="s">
        <v>179</v>
      </c>
      <c r="C6" s="183" t="s">
        <v>180</v>
      </c>
      <c r="D6" s="9" t="s">
        <v>310</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362</v>
      </c>
      <c r="S6" s="184" t="str">
        <f t="shared" ref="S6:S14" si="3">IFERROR(IF(D6="tonnes/yr", $P6*$E6/($L$17*3.6), $Q6*$E6*3.6/($L$17*3.6)), "Unfilled fields on left")</f>
        <v>Unfilled fields on left</v>
      </c>
      <c r="U6" s="17"/>
    </row>
    <row r="7" spans="2:22">
      <c r="B7" s="182" t="s">
        <v>179</v>
      </c>
      <c r="C7" s="183" t="s">
        <v>187</v>
      </c>
      <c r="D7" s="9" t="s">
        <v>310</v>
      </c>
      <c r="E7" s="18"/>
      <c r="F7" s="17"/>
      <c r="G7" s="17"/>
      <c r="H7" s="16"/>
      <c r="I7" s="16"/>
      <c r="J7" s="16"/>
      <c r="K7" s="16"/>
      <c r="L7" s="54">
        <f t="shared" si="0"/>
        <v>0</v>
      </c>
      <c r="M7" s="11"/>
      <c r="N7" s="11"/>
      <c r="O7" s="11"/>
      <c r="P7" s="42" t="str">
        <f t="shared" si="1"/>
        <v>Use column to right</v>
      </c>
      <c r="Q7" s="42" t="str">
        <f t="shared" si="2"/>
        <v>Enter data here</v>
      </c>
      <c r="R7" s="23" t="s">
        <v>362</v>
      </c>
      <c r="S7" s="184" t="str">
        <f t="shared" si="3"/>
        <v>Unfilled fields on left</v>
      </c>
      <c r="U7" s="17"/>
      <c r="V7" s="4"/>
    </row>
    <row r="8" spans="2:22" s="7" customFormat="1">
      <c r="B8" s="182" t="s">
        <v>179</v>
      </c>
      <c r="C8" s="183" t="s">
        <v>182</v>
      </c>
      <c r="D8" s="9" t="s">
        <v>309</v>
      </c>
      <c r="E8" s="19"/>
      <c r="F8" s="17"/>
      <c r="G8" s="17"/>
      <c r="H8" s="16"/>
      <c r="I8" s="16"/>
      <c r="J8" s="16"/>
      <c r="K8" s="16"/>
      <c r="L8" s="54">
        <f t="shared" si="0"/>
        <v>0</v>
      </c>
      <c r="M8" s="11"/>
      <c r="N8" s="11"/>
      <c r="O8" s="11"/>
      <c r="P8" s="42" t="str">
        <f t="shared" si="1"/>
        <v>Enter data here</v>
      </c>
      <c r="Q8" s="42" t="str">
        <f t="shared" si="2"/>
        <v>Use column to left</v>
      </c>
      <c r="R8" s="23" t="s">
        <v>362</v>
      </c>
      <c r="S8" s="184" t="str">
        <f t="shared" si="3"/>
        <v>Unfilled fields on left</v>
      </c>
      <c r="U8" s="24"/>
    </row>
    <row r="9" spans="2:22" s="7" customFormat="1">
      <c r="B9" s="182" t="s">
        <v>179</v>
      </c>
      <c r="C9" s="183" t="s">
        <v>304</v>
      </c>
      <c r="D9" s="9" t="s">
        <v>309</v>
      </c>
      <c r="E9" s="19"/>
      <c r="F9" s="17"/>
      <c r="G9" s="17"/>
      <c r="H9" s="16"/>
      <c r="I9" s="16"/>
      <c r="J9" s="16"/>
      <c r="K9" s="16"/>
      <c r="L9" s="54">
        <f t="shared" si="0"/>
        <v>0</v>
      </c>
      <c r="M9" s="11"/>
      <c r="N9" s="11"/>
      <c r="O9" s="11"/>
      <c r="P9" s="42" t="str">
        <f t="shared" si="1"/>
        <v>Enter data here</v>
      </c>
      <c r="Q9" s="42" t="str">
        <f t="shared" si="2"/>
        <v>Use column to left</v>
      </c>
      <c r="R9" s="23" t="s">
        <v>362</v>
      </c>
      <c r="S9" s="184" t="str">
        <f t="shared" si="3"/>
        <v>Unfilled fields on left</v>
      </c>
      <c r="U9" s="24"/>
    </row>
    <row r="10" spans="2:22">
      <c r="B10" s="182" t="s">
        <v>191</v>
      </c>
      <c r="C10" s="183" t="s">
        <v>192</v>
      </c>
      <c r="D10" s="9" t="s">
        <v>309</v>
      </c>
      <c r="E10" s="19"/>
      <c r="F10" s="17"/>
      <c r="G10" s="17"/>
      <c r="H10" s="16"/>
      <c r="I10" s="16"/>
      <c r="J10" s="16"/>
      <c r="K10" s="16"/>
      <c r="L10" s="54">
        <f t="shared" si="0"/>
        <v>0</v>
      </c>
      <c r="M10" s="11"/>
      <c r="N10" s="11"/>
      <c r="O10" s="11"/>
      <c r="P10" s="42" t="str">
        <f t="shared" si="1"/>
        <v>Enter data here</v>
      </c>
      <c r="Q10" s="42" t="str">
        <f t="shared" si="2"/>
        <v>Use column to left</v>
      </c>
      <c r="R10" s="23" t="s">
        <v>362</v>
      </c>
      <c r="S10" s="184" t="str">
        <f t="shared" si="3"/>
        <v>Unfilled fields on left</v>
      </c>
      <c r="U10" s="24"/>
      <c r="V10" s="4"/>
    </row>
    <row r="11" spans="2:22">
      <c r="B11" s="182" t="s">
        <v>191</v>
      </c>
      <c r="C11" s="183" t="s">
        <v>305</v>
      </c>
      <c r="D11" s="9" t="s">
        <v>309</v>
      </c>
      <c r="E11" s="19"/>
      <c r="F11" s="17"/>
      <c r="G11" s="17"/>
      <c r="H11" s="16"/>
      <c r="I11" s="16"/>
      <c r="J11" s="16"/>
      <c r="K11" s="16"/>
      <c r="L11" s="54">
        <f t="shared" si="0"/>
        <v>0</v>
      </c>
      <c r="M11" s="11"/>
      <c r="N11" s="11"/>
      <c r="O11" s="11"/>
      <c r="P11" s="42" t="str">
        <f t="shared" si="1"/>
        <v>Enter data here</v>
      </c>
      <c r="Q11" s="42" t="str">
        <f t="shared" si="2"/>
        <v>Use column to left</v>
      </c>
      <c r="R11" s="23" t="s">
        <v>362</v>
      </c>
      <c r="S11" s="184" t="str">
        <f t="shared" si="3"/>
        <v>Unfilled fields on left</v>
      </c>
      <c r="U11" s="24"/>
      <c r="V11" s="4"/>
    </row>
    <row r="12" spans="2:22">
      <c r="B12" s="182" t="s">
        <v>308</v>
      </c>
      <c r="C12" s="183" t="s">
        <v>306</v>
      </c>
      <c r="D12" s="9" t="s">
        <v>309</v>
      </c>
      <c r="E12" s="19"/>
      <c r="F12" s="17"/>
      <c r="G12" s="17"/>
      <c r="H12" s="16"/>
      <c r="I12" s="16"/>
      <c r="J12" s="16"/>
      <c r="K12" s="16"/>
      <c r="L12" s="54">
        <f t="shared" si="0"/>
        <v>0</v>
      </c>
      <c r="M12" s="11"/>
      <c r="N12" s="11"/>
      <c r="O12" s="11"/>
      <c r="P12" s="42" t="str">
        <f t="shared" si="1"/>
        <v>Enter data here</v>
      </c>
      <c r="Q12" s="42" t="str">
        <f t="shared" si="2"/>
        <v>Use column to left</v>
      </c>
      <c r="R12" s="23" t="s">
        <v>362</v>
      </c>
      <c r="S12" s="184" t="str">
        <f t="shared" si="3"/>
        <v>Unfilled fields on left</v>
      </c>
      <c r="U12" s="24"/>
      <c r="V12" s="4"/>
    </row>
    <row r="13" spans="2:22">
      <c r="B13" s="182" t="s">
        <v>308</v>
      </c>
      <c r="C13" s="183" t="s">
        <v>307</v>
      </c>
      <c r="D13" s="9" t="s">
        <v>309</v>
      </c>
      <c r="E13" s="19"/>
      <c r="F13" s="17"/>
      <c r="G13" s="17"/>
      <c r="H13" s="16"/>
      <c r="I13" s="16"/>
      <c r="J13" s="16"/>
      <c r="K13" s="16"/>
      <c r="L13" s="54">
        <f t="shared" si="0"/>
        <v>0</v>
      </c>
      <c r="M13" s="11"/>
      <c r="N13" s="11"/>
      <c r="O13" s="11"/>
      <c r="P13" s="42" t="str">
        <f t="shared" si="1"/>
        <v>Enter data here</v>
      </c>
      <c r="Q13" s="42" t="str">
        <f t="shared" si="2"/>
        <v>Use column to left</v>
      </c>
      <c r="R13" s="23" t="s">
        <v>362</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362</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183</v>
      </c>
      <c r="C16" s="177"/>
      <c r="D16" s="177"/>
      <c r="E16" s="178"/>
      <c r="F16" s="177"/>
      <c r="G16" s="179"/>
      <c r="H16" s="180"/>
      <c r="I16" s="180"/>
      <c r="J16" s="180"/>
      <c r="K16" s="180"/>
      <c r="L16" s="180"/>
      <c r="M16" s="41"/>
      <c r="N16" s="15"/>
      <c r="O16" s="11"/>
      <c r="P16" s="22"/>
      <c r="Q16" s="22"/>
      <c r="R16" s="22"/>
      <c r="S16" s="186"/>
      <c r="U16" s="27"/>
      <c r="V16" s="4"/>
    </row>
    <row r="17" spans="2:22" s="11" customFormat="1">
      <c r="B17" s="10" t="s">
        <v>184</v>
      </c>
      <c r="C17" s="183" t="s">
        <v>340</v>
      </c>
      <c r="D17" s="9" t="s">
        <v>309</v>
      </c>
      <c r="E17" s="44"/>
      <c r="F17" s="17"/>
      <c r="G17" s="17"/>
      <c r="H17" s="17"/>
      <c r="I17" s="17" t="s">
        <v>178</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188</v>
      </c>
      <c r="C18" s="183" t="s">
        <v>317</v>
      </c>
      <c r="D18" s="9" t="s">
        <v>309</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188</v>
      </c>
      <c r="C19" s="183" t="s">
        <v>318</v>
      </c>
      <c r="D19" s="9" t="s">
        <v>309</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186</v>
      </c>
      <c r="C20" s="183" t="s">
        <v>319</v>
      </c>
      <c r="D20" s="9" t="s">
        <v>309</v>
      </c>
      <c r="E20" s="19"/>
      <c r="F20" s="17"/>
      <c r="G20" s="17"/>
      <c r="H20" s="16"/>
      <c r="I20" s="16"/>
      <c r="J20" s="16"/>
      <c r="K20" s="16"/>
      <c r="L20" s="54">
        <f t="shared" si="4"/>
        <v>0</v>
      </c>
      <c r="M20" s="11"/>
      <c r="N20" s="11"/>
      <c r="O20" s="11"/>
      <c r="P20" s="22"/>
      <c r="Q20" s="22"/>
      <c r="R20" s="22"/>
      <c r="S20" s="22"/>
      <c r="U20" s="17"/>
    </row>
    <row r="21" spans="2:22" s="7" customFormat="1">
      <c r="B21" s="182" t="s">
        <v>186</v>
      </c>
      <c r="C21" s="183" t="s">
        <v>355</v>
      </c>
      <c r="D21" s="9" t="s">
        <v>309</v>
      </c>
      <c r="E21" s="19"/>
      <c r="F21" s="17"/>
      <c r="G21" s="17"/>
      <c r="H21" s="16"/>
      <c r="I21" s="16"/>
      <c r="J21" s="16"/>
      <c r="K21" s="16"/>
      <c r="L21" s="54">
        <f t="shared" si="4"/>
        <v>0</v>
      </c>
      <c r="M21" s="11"/>
      <c r="N21" s="11"/>
      <c r="O21" s="11"/>
      <c r="P21" s="22"/>
      <c r="Q21" s="22"/>
      <c r="R21" s="22"/>
      <c r="S21" s="22"/>
      <c r="U21" s="17"/>
    </row>
    <row r="22" spans="2:22" s="7" customFormat="1">
      <c r="B22" s="182" t="s">
        <v>189</v>
      </c>
      <c r="C22" s="183" t="s">
        <v>320</v>
      </c>
      <c r="D22" s="9" t="s">
        <v>309</v>
      </c>
      <c r="E22" s="44"/>
      <c r="F22" s="17"/>
      <c r="G22" s="17"/>
      <c r="H22" s="16"/>
      <c r="I22" s="45"/>
      <c r="J22" s="42"/>
      <c r="K22" s="16"/>
      <c r="L22" s="54">
        <f t="shared" si="4"/>
        <v>0</v>
      </c>
      <c r="M22" s="11"/>
      <c r="N22" s="11"/>
      <c r="O22" s="11"/>
      <c r="P22" s="22"/>
      <c r="Q22" s="22"/>
      <c r="R22" s="22"/>
      <c r="S22" s="22"/>
      <c r="U22" s="17"/>
    </row>
    <row r="23" spans="2:22" s="7" customFormat="1">
      <c r="B23" s="182" t="s">
        <v>189</v>
      </c>
      <c r="C23" s="183" t="s">
        <v>190</v>
      </c>
      <c r="D23" s="9" t="s">
        <v>309</v>
      </c>
      <c r="E23" s="19"/>
      <c r="F23" s="17"/>
      <c r="G23" s="17"/>
      <c r="H23" s="16"/>
      <c r="I23" s="16"/>
      <c r="J23" s="16"/>
      <c r="K23" s="16"/>
      <c r="L23" s="54">
        <f t="shared" si="4"/>
        <v>0</v>
      </c>
      <c r="M23" s="11"/>
      <c r="N23" s="11"/>
      <c r="O23" s="11"/>
      <c r="P23" s="22"/>
      <c r="Q23" s="22"/>
      <c r="R23" s="22"/>
      <c r="S23" s="22"/>
      <c r="U23" s="17"/>
    </row>
    <row r="24" spans="2:22" s="7" customFormat="1">
      <c r="B24" s="182" t="s">
        <v>321</v>
      </c>
      <c r="C24" s="183" t="s">
        <v>322</v>
      </c>
      <c r="D24" s="9" t="s">
        <v>309</v>
      </c>
      <c r="E24" s="19"/>
      <c r="F24" s="17"/>
      <c r="G24" s="17"/>
      <c r="H24" s="16"/>
      <c r="I24" s="16"/>
      <c r="J24" s="16"/>
      <c r="K24" s="16"/>
      <c r="L24" s="54">
        <f t="shared" si="4"/>
        <v>0</v>
      </c>
      <c r="M24" s="11"/>
      <c r="N24" s="11"/>
      <c r="O24" s="11"/>
      <c r="P24" s="23">
        <v>1000</v>
      </c>
      <c r="Q24" s="22"/>
      <c r="R24" s="23" t="s">
        <v>327</v>
      </c>
      <c r="S24" s="184" t="str">
        <f>IFERROR(IF(D24="tonnes/yr", $P24*$E24/($L$17*3.6), $Q24*$E24*3.6/($L$17*3.6)), "Unfilled fields on left")</f>
        <v>Unfilled fields on left</v>
      </c>
      <c r="U24" s="17"/>
    </row>
    <row r="25" spans="2:22" s="7" customFormat="1">
      <c r="B25" s="182" t="s">
        <v>323</v>
      </c>
      <c r="C25" s="183" t="s">
        <v>324</v>
      </c>
      <c r="D25" s="9" t="s">
        <v>309</v>
      </c>
      <c r="E25" s="19"/>
      <c r="F25" s="17"/>
      <c r="G25" s="17"/>
      <c r="H25" s="16"/>
      <c r="I25" s="16"/>
      <c r="J25" s="16"/>
      <c r="K25" s="16"/>
      <c r="L25" s="54">
        <f t="shared" si="4"/>
        <v>0</v>
      </c>
      <c r="M25" s="11"/>
      <c r="N25" s="11"/>
      <c r="O25" s="11"/>
      <c r="P25" s="23">
        <v>28000</v>
      </c>
      <c r="Q25" s="22"/>
      <c r="R25" s="23" t="s">
        <v>328</v>
      </c>
      <c r="S25" s="184" t="str">
        <f>IFERROR(IF(D25="tonnes/yr", $P25*$E25/($L$17*3.6), $Q25*$E25*3.6/($L$17*3.6)), "Unfilled fields on left")</f>
        <v>Unfilled fields on left</v>
      </c>
      <c r="U25" s="17"/>
    </row>
    <row r="26" spans="2:22" s="7" customFormat="1">
      <c r="B26" s="182" t="s">
        <v>323</v>
      </c>
      <c r="C26" s="183" t="s">
        <v>325</v>
      </c>
      <c r="D26" s="9" t="s">
        <v>309</v>
      </c>
      <c r="E26" s="19"/>
      <c r="F26" s="17"/>
      <c r="G26" s="17"/>
      <c r="H26" s="16"/>
      <c r="I26" s="16"/>
      <c r="J26" s="16"/>
      <c r="K26" s="16"/>
      <c r="L26" s="54">
        <f t="shared" si="4"/>
        <v>0</v>
      </c>
      <c r="M26" s="11"/>
      <c r="N26" s="11"/>
      <c r="O26" s="11"/>
      <c r="P26" s="23">
        <v>265000</v>
      </c>
      <c r="Q26" s="22"/>
      <c r="R26" s="23" t="s">
        <v>328</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168</v>
      </c>
      <c r="S35" s="187">
        <f>SUM(S4:S34)</f>
        <v>0</v>
      </c>
      <c r="V35" s="4"/>
    </row>
    <row r="36" spans="2:22">
      <c r="B36" s="181" t="s">
        <v>329</v>
      </c>
      <c r="C36" s="177"/>
      <c r="D36" s="177"/>
      <c r="E36" s="177"/>
      <c r="M36" s="4"/>
      <c r="V36" s="4"/>
    </row>
    <row r="37" spans="2:22">
      <c r="B37" s="10" t="s">
        <v>330</v>
      </c>
      <c r="C37" s="9" t="s">
        <v>331</v>
      </c>
      <c r="D37" s="9" t="s">
        <v>169</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5:D14 D17:D33" xr:uid="{AE996C5D-C6A6-4A4D-A9C5-549C5855CA30}">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theme="5" tint="0.79998168889431442"/>
  </sheetPr>
  <dimension ref="B2:J82"/>
  <sheetViews>
    <sheetView showGridLines="0" zoomScaleNormal="100" workbookViewId="0"/>
  </sheetViews>
  <sheetFormatPr defaultColWidth="7.21875" defaultRowHeight="14.4"/>
  <cols>
    <col min="1" max="1" width="6.6640625" style="112" customWidth="1"/>
    <col min="2" max="2" width="38.21875" style="112" customWidth="1"/>
    <col min="3" max="3" width="18" style="112" bestFit="1" customWidth="1"/>
    <col min="4" max="4" width="14" style="112" customWidth="1"/>
    <col min="5" max="5" width="17.77734375" style="112" customWidth="1"/>
    <col min="6" max="8" width="14" style="112" customWidth="1"/>
    <col min="9" max="9" width="16.77734375" style="112" customWidth="1"/>
    <col min="10" max="10" width="14.5546875" style="112" customWidth="1"/>
    <col min="11" max="13" width="18.21875" style="112" customWidth="1"/>
    <col min="14" max="14" width="12.77734375" style="112" customWidth="1"/>
    <col min="15" max="16" width="25" style="112" customWidth="1"/>
    <col min="17" max="16384" width="7.21875" style="112"/>
  </cols>
  <sheetData>
    <row r="2" spans="2:9">
      <c r="B2" s="165" t="s">
        <v>22</v>
      </c>
      <c r="C2" s="115"/>
      <c r="D2" s="115"/>
      <c r="E2" s="115"/>
      <c r="F2" s="115"/>
      <c r="G2" s="126"/>
      <c r="H2" s="115"/>
      <c r="I2" s="115"/>
    </row>
    <row r="3" spans="2:9">
      <c r="B3" s="113" t="s">
        <v>23</v>
      </c>
      <c r="C3" s="114" t="s">
        <v>24</v>
      </c>
      <c r="D3" s="114" t="s">
        <v>25</v>
      </c>
      <c r="E3" s="114" t="s">
        <v>26</v>
      </c>
      <c r="F3" s="114" t="s">
        <v>27</v>
      </c>
      <c r="G3" s="114" t="s">
        <v>28</v>
      </c>
      <c r="H3" s="115"/>
      <c r="I3" s="115"/>
    </row>
    <row r="4" spans="2:9">
      <c r="B4" s="116" t="s">
        <v>29</v>
      </c>
      <c r="C4" s="117"/>
      <c r="D4" s="117">
        <v>238.8</v>
      </c>
      <c r="E4" s="117">
        <f>2.388*10^-5</f>
        <v>2.3880000000000002E-5</v>
      </c>
      <c r="F4" s="117">
        <v>947.8</v>
      </c>
      <c r="G4" s="117">
        <v>0.27779999999999999</v>
      </c>
      <c r="H4" s="115"/>
      <c r="I4" s="118"/>
    </row>
    <row r="5" spans="2:9">
      <c r="B5" s="116" t="s">
        <v>30</v>
      </c>
      <c r="C5" s="119">
        <f>4.1868*10^-3</f>
        <v>4.1868000000000001E-3</v>
      </c>
      <c r="D5" s="117"/>
      <c r="E5" s="117">
        <f>10^-7</f>
        <v>9.9999999999999995E-8</v>
      </c>
      <c r="F5" s="117">
        <v>3.968</v>
      </c>
      <c r="G5" s="117">
        <f>1.163*10^-3</f>
        <v>1.163E-3</v>
      </c>
      <c r="H5" s="115"/>
      <c r="I5" s="120"/>
    </row>
    <row r="6" spans="2:9">
      <c r="B6" s="116" t="s">
        <v>31</v>
      </c>
      <c r="C6" s="121">
        <f>4.1868*10^4</f>
        <v>41868</v>
      </c>
      <c r="D6" s="121">
        <f>10^7</f>
        <v>10000000</v>
      </c>
      <c r="E6" s="117"/>
      <c r="F6" s="121">
        <f>3.968*10^7</f>
        <v>39680000</v>
      </c>
      <c r="G6" s="121">
        <v>11630</v>
      </c>
      <c r="H6" s="115"/>
      <c r="I6" s="122"/>
    </row>
    <row r="7" spans="2:9">
      <c r="B7" s="116" t="s">
        <v>32</v>
      </c>
      <c r="C7" s="119">
        <f>1.0551*10^-3</f>
        <v>1.0551E-3</v>
      </c>
      <c r="D7" s="117">
        <v>0.252</v>
      </c>
      <c r="E7" s="117">
        <f>2.52*10^-8</f>
        <v>2.5200000000000001E-8</v>
      </c>
      <c r="F7" s="117"/>
      <c r="G7" s="119">
        <f>1/F8</f>
        <v>2.9307107044088316E-4</v>
      </c>
      <c r="H7" s="115"/>
      <c r="I7" s="115"/>
    </row>
    <row r="8" spans="2:9">
      <c r="B8" s="116" t="s">
        <v>33</v>
      </c>
      <c r="C8" s="117">
        <v>3.6</v>
      </c>
      <c r="D8" s="117">
        <v>860</v>
      </c>
      <c r="E8" s="117">
        <f>8.6*10^-5</f>
        <v>8.6000000000000003E-5</v>
      </c>
      <c r="F8" s="121">
        <v>3412.1416300000001</v>
      </c>
      <c r="G8" s="123"/>
      <c r="H8" s="115"/>
      <c r="I8" s="124"/>
    </row>
    <row r="9" spans="2:9">
      <c r="B9" s="115"/>
      <c r="C9" s="125"/>
      <c r="D9" s="125"/>
      <c r="E9" s="125"/>
      <c r="F9" s="125"/>
      <c r="G9" s="126"/>
      <c r="H9" s="115"/>
      <c r="I9" s="115"/>
    </row>
    <row r="10" spans="2:9">
      <c r="B10" s="115"/>
      <c r="C10" s="125"/>
      <c r="D10" s="125"/>
      <c r="E10" s="125"/>
      <c r="F10" s="125"/>
      <c r="G10" s="126"/>
      <c r="H10" s="115"/>
      <c r="I10" s="115"/>
    </row>
    <row r="11" spans="2:9">
      <c r="B11" s="165" t="s">
        <v>34</v>
      </c>
      <c r="C11" s="125"/>
      <c r="D11" s="125"/>
      <c r="E11" s="125"/>
      <c r="F11" s="125"/>
      <c r="G11" s="126"/>
      <c r="H11" s="115"/>
      <c r="I11" s="115"/>
    </row>
    <row r="12" spans="2:9">
      <c r="B12" s="113" t="s">
        <v>23</v>
      </c>
      <c r="C12" s="114" t="s">
        <v>35</v>
      </c>
      <c r="D12" s="114" t="s">
        <v>36</v>
      </c>
      <c r="E12" s="114" t="s">
        <v>37</v>
      </c>
      <c r="F12" s="114" t="s">
        <v>38</v>
      </c>
      <c r="G12" s="114" t="s">
        <v>39</v>
      </c>
      <c r="H12" s="114" t="s">
        <v>40</v>
      </c>
      <c r="I12" s="115"/>
    </row>
    <row r="13" spans="2:9">
      <c r="B13" s="116" t="s">
        <v>41</v>
      </c>
      <c r="C13" s="117"/>
      <c r="D13" s="117">
        <v>1E-3</v>
      </c>
      <c r="E13" s="127">
        <f>9.84207*10^-4</f>
        <v>9.8420699999999996E-4</v>
      </c>
      <c r="F13" s="128">
        <f>1.10231*10^-3</f>
        <v>1.10231E-3</v>
      </c>
      <c r="G13" s="129">
        <v>2.2046199999999998</v>
      </c>
      <c r="H13" s="130">
        <f>G13*16</f>
        <v>35.273919999999997</v>
      </c>
      <c r="I13" s="115"/>
    </row>
    <row r="14" spans="2:9">
      <c r="B14" s="116" t="s">
        <v>42</v>
      </c>
      <c r="C14" s="117">
        <v>1000</v>
      </c>
      <c r="D14" s="117"/>
      <c r="E14" s="131">
        <v>0.98420700000000005</v>
      </c>
      <c r="F14" s="117">
        <v>1.1023099999999999</v>
      </c>
      <c r="G14" s="121">
        <v>2204.62</v>
      </c>
      <c r="H14" s="121">
        <f>G14*16</f>
        <v>35273.919999999998</v>
      </c>
      <c r="I14" s="115"/>
    </row>
    <row r="15" spans="2:9">
      <c r="B15" s="116" t="s">
        <v>43</v>
      </c>
      <c r="C15" s="121">
        <f>1/E13</f>
        <v>1016.0464211288886</v>
      </c>
      <c r="D15" s="132">
        <f>1/E14</f>
        <v>1.0160464211288884</v>
      </c>
      <c r="E15" s="117"/>
      <c r="F15" s="132">
        <v>1.1200000000000001</v>
      </c>
      <c r="G15" s="121">
        <v>2240</v>
      </c>
      <c r="H15" s="121">
        <f>G15*16</f>
        <v>35840</v>
      </c>
      <c r="I15" s="115"/>
    </row>
    <row r="16" spans="2:9">
      <c r="B16" s="116" t="s">
        <v>44</v>
      </c>
      <c r="C16" s="133">
        <f>1/F13</f>
        <v>907.18581887127937</v>
      </c>
      <c r="D16" s="131">
        <f>C16*D13</f>
        <v>0.90718581887127936</v>
      </c>
      <c r="E16" s="131">
        <f>C16*E13</f>
        <v>0.89285863323384518</v>
      </c>
      <c r="F16" s="117"/>
      <c r="G16" s="121">
        <v>2000</v>
      </c>
      <c r="H16" s="121">
        <f>G16*16</f>
        <v>32000</v>
      </c>
      <c r="I16" s="115"/>
    </row>
    <row r="17" spans="2:10">
      <c r="B17" s="116" t="s">
        <v>45</v>
      </c>
      <c r="C17" s="131">
        <f>1/G13</f>
        <v>0.45359290943563974</v>
      </c>
      <c r="D17" s="127">
        <f>1/G14</f>
        <v>4.535929094356397E-4</v>
      </c>
      <c r="E17" s="127">
        <f>1/G15</f>
        <v>4.4642857142857141E-4</v>
      </c>
      <c r="F17" s="117">
        <f>1/G16</f>
        <v>5.0000000000000001E-4</v>
      </c>
      <c r="G17" s="123"/>
      <c r="H17" s="117">
        <v>16</v>
      </c>
      <c r="I17" s="115"/>
    </row>
    <row r="18" spans="2:10">
      <c r="B18" s="116" t="s">
        <v>46</v>
      </c>
      <c r="C18" s="128">
        <f>C17/16</f>
        <v>2.8349556839727483E-2</v>
      </c>
      <c r="D18" s="134">
        <f>D17/16</f>
        <v>2.8349556839727481E-5</v>
      </c>
      <c r="E18" s="134">
        <f>E17/16</f>
        <v>2.7901785714285713E-5</v>
      </c>
      <c r="F18" s="134">
        <f>F17/16</f>
        <v>3.1250000000000001E-5</v>
      </c>
      <c r="G18" s="117">
        <f>1/16</f>
        <v>6.25E-2</v>
      </c>
      <c r="H18" s="117"/>
      <c r="I18" s="115"/>
    </row>
    <row r="19" spans="2:10">
      <c r="B19" s="115"/>
      <c r="C19" s="125"/>
      <c r="D19" s="125"/>
      <c r="E19" s="125"/>
      <c r="F19" s="125"/>
      <c r="G19" s="126"/>
      <c r="H19" s="115"/>
      <c r="I19" s="115"/>
    </row>
    <row r="20" spans="2:10">
      <c r="B20" s="115"/>
      <c r="C20" s="125"/>
      <c r="D20" s="125"/>
      <c r="E20" s="125"/>
      <c r="F20" s="125"/>
      <c r="G20" s="126"/>
      <c r="H20" s="115"/>
      <c r="I20" s="115"/>
    </row>
    <row r="21" spans="2:10">
      <c r="B21" s="165" t="s">
        <v>47</v>
      </c>
      <c r="C21" s="115"/>
      <c r="D21" s="115"/>
      <c r="E21" s="115"/>
      <c r="F21" s="115"/>
      <c r="G21" s="126"/>
      <c r="H21" s="115"/>
      <c r="I21" s="115"/>
    </row>
    <row r="22" spans="2:10">
      <c r="B22" s="113" t="s">
        <v>23</v>
      </c>
      <c r="C22" s="114" t="s">
        <v>48</v>
      </c>
      <c r="D22" s="114" t="s">
        <v>49</v>
      </c>
      <c r="E22" s="114" t="s">
        <v>50</v>
      </c>
      <c r="F22" s="114" t="s">
        <v>51</v>
      </c>
      <c r="G22" s="114" t="s">
        <v>52</v>
      </c>
      <c r="H22" s="114" t="s">
        <v>53</v>
      </c>
      <c r="I22" s="115"/>
    </row>
    <row r="23" spans="2:10">
      <c r="B23" s="116" t="s">
        <v>54</v>
      </c>
      <c r="C23" s="117"/>
      <c r="D23" s="131">
        <v>0.83267400000000003</v>
      </c>
      <c r="E23" s="128">
        <f>1/C25</f>
        <v>2.3809523809523808E-2</v>
      </c>
      <c r="F23" s="131">
        <v>0.13368099999999999</v>
      </c>
      <c r="G23" s="106">
        <v>3.7854100000000002</v>
      </c>
      <c r="H23" s="135">
        <v>3.7854100000000003E-3</v>
      </c>
      <c r="I23" s="136"/>
    </row>
    <row r="24" spans="2:10">
      <c r="B24" s="116" t="s">
        <v>55</v>
      </c>
      <c r="C24" s="131">
        <f>1/D23</f>
        <v>1.2009501917917456</v>
      </c>
      <c r="D24" s="117"/>
      <c r="E24" s="128">
        <f>1/D25</f>
        <v>2.8594052185517756E-2</v>
      </c>
      <c r="F24" s="131">
        <f>1/D26</f>
        <v>0.16054422258891232</v>
      </c>
      <c r="G24" s="131">
        <v>4.5460900000000004</v>
      </c>
      <c r="H24" s="128">
        <f>G24/1000</f>
        <v>4.54609E-3</v>
      </c>
      <c r="I24" s="136"/>
    </row>
    <row r="25" spans="2:10">
      <c r="B25" s="116" t="s">
        <v>56</v>
      </c>
      <c r="C25" s="107">
        <v>42</v>
      </c>
      <c r="D25" s="130">
        <f>C25*D23</f>
        <v>34.972307999999998</v>
      </c>
      <c r="E25" s="117"/>
      <c r="F25" s="132">
        <f>1/E26</f>
        <v>5.6146019999999996</v>
      </c>
      <c r="G25" s="137">
        <v>158.98722000000001</v>
      </c>
      <c r="H25" s="128">
        <f>G25/1000</f>
        <v>0.15898722000000001</v>
      </c>
      <c r="I25" s="136"/>
    </row>
    <row r="26" spans="2:10">
      <c r="B26" s="116" t="s">
        <v>257</v>
      </c>
      <c r="C26" s="131">
        <f>1/F23</f>
        <v>7.4804946103036336</v>
      </c>
      <c r="D26" s="132">
        <f>C26*D23</f>
        <v>6.2288133691399681</v>
      </c>
      <c r="E26" s="128">
        <f>C26*E23</f>
        <v>0.17810701453103889</v>
      </c>
      <c r="F26" s="117"/>
      <c r="G26" s="138">
        <v>28.316800000000001</v>
      </c>
      <c r="H26" s="128">
        <f>G26/1000</f>
        <v>2.83168E-2</v>
      </c>
      <c r="I26" s="136"/>
    </row>
    <row r="27" spans="2:10">
      <c r="B27" s="116" t="s">
        <v>57</v>
      </c>
      <c r="C27" s="131">
        <v>0.26417217685798894</v>
      </c>
      <c r="D27" s="131">
        <f>1/G24</f>
        <v>0.21996924829908776</v>
      </c>
      <c r="E27" s="128">
        <f>1/G25</f>
        <v>6.2898137347140223E-3</v>
      </c>
      <c r="F27" s="131">
        <f>1/G26</f>
        <v>3.5314724827664144E-2</v>
      </c>
      <c r="G27" s="123"/>
      <c r="H27" s="117">
        <v>1E-3</v>
      </c>
      <c r="I27" s="136"/>
    </row>
    <row r="28" spans="2:10">
      <c r="B28" s="116" t="s">
        <v>58</v>
      </c>
      <c r="C28" s="138">
        <f>1/H23</f>
        <v>264.17217685798892</v>
      </c>
      <c r="D28" s="138">
        <f>1/H24</f>
        <v>219.96924829908778</v>
      </c>
      <c r="E28" s="131">
        <f>1/H25</f>
        <v>6.2898137347140226</v>
      </c>
      <c r="F28" s="139">
        <f>1/H26</f>
        <v>35.314724827664143</v>
      </c>
      <c r="G28" s="121">
        <v>1000</v>
      </c>
      <c r="H28" s="123"/>
      <c r="I28" s="115"/>
    </row>
    <row r="29" spans="2:10">
      <c r="B29" s="115"/>
      <c r="C29" s="125"/>
      <c r="D29" s="125"/>
      <c r="E29" s="125"/>
      <c r="F29" s="125"/>
      <c r="G29" s="126"/>
      <c r="H29" s="115"/>
      <c r="I29" s="115"/>
    </row>
    <row r="30" spans="2:10">
      <c r="B30" s="115"/>
      <c r="C30" s="125"/>
      <c r="D30" s="125"/>
      <c r="E30" s="125"/>
      <c r="F30" s="125"/>
      <c r="G30" s="126"/>
      <c r="H30" s="115"/>
      <c r="I30" s="115"/>
    </row>
    <row r="31" spans="2:10">
      <c r="B31" s="165" t="s">
        <v>59</v>
      </c>
      <c r="C31" s="115"/>
      <c r="D31" s="115"/>
      <c r="E31" s="115"/>
      <c r="F31" s="115"/>
      <c r="G31" s="126"/>
      <c r="H31" s="115"/>
      <c r="I31" s="115"/>
    </row>
    <row r="32" spans="2:10">
      <c r="B32" s="113" t="s">
        <v>23</v>
      </c>
      <c r="C32" s="114" t="s">
        <v>60</v>
      </c>
      <c r="D32" s="114" t="s">
        <v>61</v>
      </c>
      <c r="E32" s="114" t="s">
        <v>62</v>
      </c>
      <c r="F32" s="114" t="s">
        <v>63</v>
      </c>
      <c r="G32" s="114" t="s">
        <v>64</v>
      </c>
      <c r="H32" s="114" t="s">
        <v>65</v>
      </c>
      <c r="I32" s="114" t="s">
        <v>66</v>
      </c>
      <c r="J32" s="140"/>
    </row>
    <row r="33" spans="2:10">
      <c r="B33" s="116" t="s">
        <v>67</v>
      </c>
      <c r="C33" s="117"/>
      <c r="D33" s="131">
        <f>1/C34</f>
        <v>8.3333333333333329E-2</v>
      </c>
      <c r="E33" s="128">
        <f>1/C35</f>
        <v>2.7777777777777776E-2</v>
      </c>
      <c r="F33" s="119">
        <f>1/C36</f>
        <v>1.5782828282828283E-5</v>
      </c>
      <c r="G33" s="108">
        <f>1/C37</f>
        <v>1.3714900141812068E-5</v>
      </c>
      <c r="H33" s="128">
        <f>1/C38</f>
        <v>2.5399986284007407E-2</v>
      </c>
      <c r="I33" s="119">
        <f>H33/1000</f>
        <v>2.5399986284007409E-5</v>
      </c>
      <c r="J33" s="140"/>
    </row>
    <row r="34" spans="2:10">
      <c r="B34" s="116" t="s">
        <v>68</v>
      </c>
      <c r="C34" s="121">
        <v>12</v>
      </c>
      <c r="D34" s="117"/>
      <c r="E34" s="131">
        <f>1/D35</f>
        <v>0.33333333333333331</v>
      </c>
      <c r="F34" s="127">
        <f>1/D36</f>
        <v>1.8939393939393939E-4</v>
      </c>
      <c r="G34" s="127">
        <f>1/D37</f>
        <v>1.6457880170174483E-4</v>
      </c>
      <c r="H34" s="131">
        <f>1/D38</f>
        <v>0.30479983540808891</v>
      </c>
      <c r="I34" s="127">
        <f>H34/1000</f>
        <v>3.0479983540808892E-4</v>
      </c>
      <c r="J34" s="140"/>
    </row>
    <row r="35" spans="2:10">
      <c r="B35" s="116" t="s">
        <v>69</v>
      </c>
      <c r="C35" s="121">
        <v>36</v>
      </c>
      <c r="D35" s="121">
        <f>C35*D33</f>
        <v>3</v>
      </c>
      <c r="E35" s="117"/>
      <c r="F35" s="141">
        <f>1/E36</f>
        <v>5.6818181818181815E-4</v>
      </c>
      <c r="G35" s="127">
        <f>1/E37</f>
        <v>4.9373640510523445E-4</v>
      </c>
      <c r="H35" s="131">
        <f>1/E38</f>
        <v>0.91439950622426669</v>
      </c>
      <c r="I35" s="139">
        <f>H35/1000</f>
        <v>9.143995062242667E-4</v>
      </c>
      <c r="J35" s="140"/>
    </row>
    <row r="36" spans="2:10">
      <c r="B36" s="116" t="s">
        <v>70</v>
      </c>
      <c r="C36" s="121">
        <v>63360</v>
      </c>
      <c r="D36" s="121">
        <f>C36*D33</f>
        <v>5280</v>
      </c>
      <c r="E36" s="121">
        <f>C36*E33</f>
        <v>1760</v>
      </c>
      <c r="F36" s="117"/>
      <c r="G36" s="131">
        <f>1/F37</f>
        <v>0.86897607298521262</v>
      </c>
      <c r="H36" s="121">
        <f>1/F38</f>
        <v>1609.3431309547093</v>
      </c>
      <c r="I36" s="131">
        <f>H36/1000</f>
        <v>1.6093431309547093</v>
      </c>
      <c r="J36" s="140"/>
    </row>
    <row r="37" spans="2:10">
      <c r="B37" s="116" t="s">
        <v>71</v>
      </c>
      <c r="C37" s="121">
        <v>72913.399999999994</v>
      </c>
      <c r="D37" s="121">
        <f>C37*D33</f>
        <v>6076.1166666666659</v>
      </c>
      <c r="E37" s="121">
        <f>C37*E33</f>
        <v>2025.372222222222</v>
      </c>
      <c r="F37" s="131">
        <f>C37*F33</f>
        <v>1.1507796717171717</v>
      </c>
      <c r="G37" s="123"/>
      <c r="H37" s="121">
        <f>1/G38</f>
        <v>1851.9993599203453</v>
      </c>
      <c r="I37" s="131">
        <f>H37/1000</f>
        <v>1.8519993599203453</v>
      </c>
      <c r="J37" s="140"/>
    </row>
    <row r="38" spans="2:10">
      <c r="B38" s="116" t="s">
        <v>72</v>
      </c>
      <c r="C38" s="137">
        <v>39.370100000000001</v>
      </c>
      <c r="D38" s="139">
        <f>C38*D33</f>
        <v>3.2808416666666664</v>
      </c>
      <c r="E38" s="139">
        <f>C38*E33</f>
        <v>1.0936138888888889</v>
      </c>
      <c r="F38" s="127">
        <f>C38*F33</f>
        <v>6.2137152777777776E-4</v>
      </c>
      <c r="G38" s="127">
        <f>C38*G33</f>
        <v>5.3995699007315537E-4</v>
      </c>
      <c r="H38" s="123"/>
      <c r="I38" s="131">
        <f>1/H39</f>
        <v>1E-3</v>
      </c>
      <c r="J38" s="140"/>
    </row>
    <row r="39" spans="2:10">
      <c r="B39" s="116" t="s">
        <v>73</v>
      </c>
      <c r="C39" s="121">
        <f>C38*1000</f>
        <v>39370.1</v>
      </c>
      <c r="D39" s="138">
        <f>D38*1000</f>
        <v>3280.8416666666662</v>
      </c>
      <c r="E39" s="138">
        <f>E38*1000</f>
        <v>1093.6138888888888</v>
      </c>
      <c r="F39" s="130">
        <f>F38*1000</f>
        <v>0.62137152777777771</v>
      </c>
      <c r="G39" s="130">
        <f>G38*1000</f>
        <v>0.53995699007315534</v>
      </c>
      <c r="H39" s="121">
        <v>1000</v>
      </c>
      <c r="I39" s="142"/>
      <c r="J39" s="140"/>
    </row>
    <row r="40" spans="2:10">
      <c r="B40" s="143"/>
      <c r="C40" s="144"/>
      <c r="D40" s="144"/>
      <c r="E40" s="144"/>
      <c r="F40" s="144"/>
      <c r="G40" s="145"/>
      <c r="H40" s="143"/>
      <c r="I40" s="143"/>
      <c r="J40" s="140"/>
    </row>
    <row r="41" spans="2:10">
      <c r="B41" s="143"/>
      <c r="C41" s="144"/>
      <c r="D41" s="144"/>
      <c r="E41" s="144"/>
      <c r="F41" s="144"/>
      <c r="G41" s="145"/>
      <c r="H41" s="143"/>
      <c r="I41" s="143"/>
      <c r="J41" s="140"/>
    </row>
    <row r="42" spans="2:10">
      <c r="B42" s="166" t="s">
        <v>74</v>
      </c>
      <c r="C42" s="143"/>
      <c r="D42" s="140"/>
      <c r="E42" s="140"/>
      <c r="F42" s="140"/>
      <c r="G42" s="140"/>
      <c r="H42" s="140"/>
      <c r="I42" s="140"/>
      <c r="J42" s="140"/>
    </row>
    <row r="43" spans="2:10">
      <c r="B43" s="113" t="s">
        <v>23</v>
      </c>
      <c r="C43" s="114" t="s">
        <v>75</v>
      </c>
      <c r="D43" s="114" t="s">
        <v>76</v>
      </c>
      <c r="E43" s="146"/>
      <c r="F43" s="140"/>
      <c r="G43" s="140"/>
      <c r="H43" s="140"/>
      <c r="I43" s="140"/>
      <c r="J43" s="140"/>
    </row>
    <row r="44" spans="2:10">
      <c r="B44" s="116" t="s">
        <v>77</v>
      </c>
      <c r="C44" s="117"/>
      <c r="D44" s="131">
        <v>0.74569987199999999</v>
      </c>
      <c r="E44" s="146"/>
      <c r="F44" s="140"/>
      <c r="G44" s="140"/>
      <c r="H44" s="140"/>
      <c r="I44" s="140"/>
      <c r="J44" s="140"/>
    </row>
    <row r="45" spans="2:10">
      <c r="B45" s="116" t="s">
        <v>78</v>
      </c>
      <c r="C45" s="132">
        <f>1/D44</f>
        <v>1.3410220888438076</v>
      </c>
      <c r="D45" s="117"/>
      <c r="E45" s="146"/>
      <c r="F45" s="140"/>
      <c r="G45" s="140"/>
      <c r="H45" s="140"/>
      <c r="I45" s="140"/>
      <c r="J45" s="140"/>
    </row>
    <row r="46" spans="2:10">
      <c r="B46" s="140"/>
      <c r="C46" s="140"/>
      <c r="D46" s="140"/>
      <c r="E46" s="140"/>
      <c r="F46" s="140"/>
      <c r="G46" s="140"/>
      <c r="H46" s="140"/>
      <c r="I46" s="140"/>
      <c r="J46" s="140"/>
    </row>
    <row r="48" spans="2:10">
      <c r="B48" s="165" t="s">
        <v>79</v>
      </c>
      <c r="C48" s="167"/>
      <c r="D48" s="167"/>
    </row>
    <row r="49" spans="2:4">
      <c r="B49" s="113" t="s">
        <v>80</v>
      </c>
      <c r="C49" s="113" t="s">
        <v>81</v>
      </c>
      <c r="D49" s="113" t="s">
        <v>82</v>
      </c>
    </row>
    <row r="50" spans="2:4">
      <c r="B50" s="109" t="s">
        <v>83</v>
      </c>
      <c r="C50" s="109" t="s">
        <v>84</v>
      </c>
      <c r="D50" s="109" t="s">
        <v>85</v>
      </c>
    </row>
    <row r="51" spans="2:4">
      <c r="B51" s="109" t="s">
        <v>86</v>
      </c>
      <c r="C51" s="109" t="s">
        <v>87</v>
      </c>
      <c r="D51" s="109" t="s">
        <v>88</v>
      </c>
    </row>
    <row r="52" spans="2:4">
      <c r="B52" s="109" t="s">
        <v>89</v>
      </c>
      <c r="C52" s="109" t="s">
        <v>90</v>
      </c>
      <c r="D52" s="109" t="s">
        <v>91</v>
      </c>
    </row>
    <row r="53" spans="2:4">
      <c r="B53" s="109" t="s">
        <v>92</v>
      </c>
      <c r="C53" s="109" t="s">
        <v>93</v>
      </c>
      <c r="D53" s="109" t="s">
        <v>94</v>
      </c>
    </row>
    <row r="54" spans="2:4">
      <c r="B54" s="109" t="s">
        <v>95</v>
      </c>
      <c r="C54" s="109" t="s">
        <v>96</v>
      </c>
      <c r="D54" s="109" t="s">
        <v>97</v>
      </c>
    </row>
    <row r="55" spans="2:4">
      <c r="B55" s="109" t="s">
        <v>98</v>
      </c>
      <c r="C55" s="109" t="s">
        <v>99</v>
      </c>
      <c r="D55" s="109" t="s">
        <v>100</v>
      </c>
    </row>
    <row r="56" spans="2:4">
      <c r="B56" s="109" t="s">
        <v>101</v>
      </c>
      <c r="C56" s="109" t="s">
        <v>102</v>
      </c>
      <c r="D56" s="109" t="s">
        <v>103</v>
      </c>
    </row>
    <row r="57" spans="2:4">
      <c r="B57" s="109" t="s">
        <v>104</v>
      </c>
      <c r="C57" s="109" t="s">
        <v>105</v>
      </c>
      <c r="D57" s="109" t="s">
        <v>106</v>
      </c>
    </row>
    <row r="58" spans="2:4">
      <c r="B58" s="109" t="s">
        <v>107</v>
      </c>
      <c r="C58" s="109" t="s">
        <v>108</v>
      </c>
      <c r="D58" s="109" t="s">
        <v>109</v>
      </c>
    </row>
    <row r="59" spans="2:4">
      <c r="B59" s="109" t="s">
        <v>110</v>
      </c>
      <c r="C59" s="109" t="s">
        <v>111</v>
      </c>
      <c r="D59" s="109" t="s">
        <v>112</v>
      </c>
    </row>
    <row r="60" spans="2:4">
      <c r="B60" s="110" t="s">
        <v>113</v>
      </c>
      <c r="C60" s="109" t="s">
        <v>114</v>
      </c>
      <c r="D60" s="109" t="s">
        <v>115</v>
      </c>
    </row>
    <row r="61" spans="2:4">
      <c r="B61" s="110" t="s">
        <v>116</v>
      </c>
      <c r="C61" s="109" t="s">
        <v>117</v>
      </c>
      <c r="D61" s="109" t="s">
        <v>118</v>
      </c>
    </row>
    <row r="62" spans="2:4">
      <c r="B62" s="110" t="s">
        <v>119</v>
      </c>
      <c r="C62" s="109" t="s">
        <v>120</v>
      </c>
      <c r="D62" s="109" t="s">
        <v>65</v>
      </c>
    </row>
    <row r="63" spans="2:4">
      <c r="B63" s="110" t="s">
        <v>121</v>
      </c>
      <c r="C63" s="109" t="s">
        <v>122</v>
      </c>
      <c r="D63" s="109" t="s">
        <v>65</v>
      </c>
    </row>
    <row r="64" spans="2:4">
      <c r="B64" s="110" t="s">
        <v>123</v>
      </c>
      <c r="C64" s="109" t="s">
        <v>124</v>
      </c>
      <c r="D64" s="109" t="s">
        <v>125</v>
      </c>
    </row>
    <row r="65" spans="2:10">
      <c r="B65" s="110" t="s">
        <v>126</v>
      </c>
      <c r="C65" s="109" t="s">
        <v>127</v>
      </c>
      <c r="D65" s="109" t="s">
        <v>128</v>
      </c>
    </row>
    <row r="66" spans="2:10">
      <c r="B66" s="111" t="s">
        <v>129</v>
      </c>
      <c r="C66" s="109" t="s">
        <v>130</v>
      </c>
      <c r="D66" s="109" t="s">
        <v>131</v>
      </c>
    </row>
    <row r="67" spans="2:10">
      <c r="B67" s="111" t="s">
        <v>132</v>
      </c>
      <c r="C67" s="109" t="s">
        <v>133</v>
      </c>
      <c r="D67" s="109" t="s">
        <v>134</v>
      </c>
    </row>
    <row r="68" spans="2:10">
      <c r="B68" s="111" t="s">
        <v>135</v>
      </c>
      <c r="C68" s="109" t="s">
        <v>136</v>
      </c>
      <c r="D68" s="109" t="s">
        <v>137</v>
      </c>
    </row>
    <row r="69" spans="2:10">
      <c r="B69" s="111" t="s">
        <v>138</v>
      </c>
      <c r="C69" s="109" t="s">
        <v>139</v>
      </c>
      <c r="D69" s="109" t="s">
        <v>140</v>
      </c>
    </row>
    <row r="71" spans="2:10">
      <c r="B71" s="168" t="s">
        <v>141</v>
      </c>
      <c r="C71" s="169"/>
    </row>
    <row r="72" spans="2:10">
      <c r="B72" s="170" t="s">
        <v>142</v>
      </c>
      <c r="C72" s="151"/>
    </row>
    <row r="73" spans="2:10">
      <c r="B73" s="170" t="s">
        <v>143</v>
      </c>
      <c r="C73" s="151"/>
    </row>
    <row r="76" spans="2:10">
      <c r="B76" s="165" t="s">
        <v>144</v>
      </c>
    </row>
    <row r="77" spans="2:10">
      <c r="B77" s="113" t="s">
        <v>145</v>
      </c>
      <c r="C77" s="113" t="s">
        <v>146</v>
      </c>
      <c r="D77" s="113" t="s">
        <v>141</v>
      </c>
      <c r="E77" s="147"/>
      <c r="F77" s="147"/>
      <c r="G77" s="147"/>
      <c r="H77" s="147"/>
      <c r="I77" s="147"/>
      <c r="J77" s="147"/>
    </row>
    <row r="78" spans="2:10">
      <c r="B78" s="148" t="s">
        <v>147</v>
      </c>
      <c r="C78" s="148">
        <v>1.9</v>
      </c>
      <c r="D78" s="149" t="s">
        <v>195</v>
      </c>
      <c r="E78" s="147"/>
      <c r="F78" s="147"/>
      <c r="G78" s="147"/>
      <c r="H78" s="147"/>
      <c r="I78" s="147"/>
      <c r="J78" s="147"/>
    </row>
    <row r="79" spans="2:10">
      <c r="B79" s="148" t="s">
        <v>196</v>
      </c>
      <c r="C79" s="148">
        <v>11</v>
      </c>
      <c r="D79" s="149" t="s">
        <v>209</v>
      </c>
      <c r="E79" s="147"/>
      <c r="F79" s="147"/>
      <c r="G79" s="147"/>
      <c r="H79" s="147"/>
      <c r="I79" s="147"/>
      <c r="J79" s="147"/>
    </row>
    <row r="80" spans="2:10">
      <c r="B80" s="148" t="s">
        <v>148</v>
      </c>
      <c r="C80" s="148">
        <v>25</v>
      </c>
      <c r="D80" s="150" t="s">
        <v>210</v>
      </c>
      <c r="E80" s="147"/>
      <c r="F80" s="147"/>
      <c r="G80" s="147"/>
      <c r="H80" s="147"/>
      <c r="I80" s="147"/>
      <c r="J80" s="147"/>
    </row>
    <row r="81" spans="2:4">
      <c r="B81" s="148" t="s">
        <v>149</v>
      </c>
      <c r="C81" s="148">
        <v>298</v>
      </c>
      <c r="D81" s="150" t="s">
        <v>210</v>
      </c>
    </row>
    <row r="82" spans="2:4">
      <c r="B82" s="165"/>
    </row>
  </sheetData>
  <hyperlinks>
    <hyperlink ref="D78" r:id="rId1" xr:uid="{00000000-0004-0000-0200-000000000000}"/>
    <hyperlink ref="D79" r:id="rId2" xr:uid="{936FCBFA-3E4B-47E4-ABD8-113A1E56E0AA}"/>
    <hyperlink ref="D81" r:id="rId3" xr:uid="{3B24D4E1-6B22-4CD9-A91B-646657C7C20F}"/>
    <hyperlink ref="D80" r:id="rId4" xr:uid="{1565FD97-EAA0-4990-977B-F97658DA9066}"/>
  </hyperlinks>
  <pageMargins left="0.70000000000000007" right="0.70000000000000007" top="0.75" bottom="0.75" header="0.30000000000000004" footer="0.30000000000000004"/>
  <pageSetup paperSize="9" orientation="portrait"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B2:BE56"/>
  <sheetViews>
    <sheetView showGridLines="0" zoomScaleNormal="100" workbookViewId="0"/>
  </sheetViews>
  <sheetFormatPr defaultColWidth="10" defaultRowHeight="15" customHeight="1"/>
  <cols>
    <col min="1" max="1" width="6.6640625" style="1" customWidth="1"/>
    <col min="2" max="2" width="66.21875" style="1" customWidth="1"/>
    <col min="3" max="38" width="7.77734375" style="1" customWidth="1"/>
    <col min="39" max="16384" width="10" style="1"/>
  </cols>
  <sheetData>
    <row r="2" spans="2:50" s="80" customFormat="1" ht="14.4">
      <c r="B2" s="58" t="s">
        <v>291</v>
      </c>
    </row>
    <row r="3" spans="2:50" customFormat="1" ht="14.4">
      <c r="B3" s="79"/>
      <c r="C3" s="78"/>
      <c r="D3" s="78"/>
      <c r="E3" s="78"/>
      <c r="F3" s="78"/>
      <c r="G3" s="78"/>
      <c r="H3" s="78"/>
      <c r="I3" s="78"/>
      <c r="J3" s="78"/>
      <c r="K3" s="78"/>
      <c r="L3" s="78"/>
      <c r="M3" s="78"/>
      <c r="N3" s="78"/>
      <c r="O3" s="78"/>
      <c r="P3" s="78"/>
      <c r="Q3" s="78"/>
    </row>
    <row r="4" spans="2:50" s="78" customFormat="1" ht="15.6">
      <c r="B4" s="90" t="s">
        <v>290</v>
      </c>
      <c r="C4" s="154">
        <v>2021</v>
      </c>
      <c r="D4" s="154">
        <v>2022</v>
      </c>
      <c r="E4" s="154">
        <v>2023</v>
      </c>
      <c r="F4" s="91">
        <f>E4+1</f>
        <v>2024</v>
      </c>
      <c r="G4" s="91">
        <f t="shared" ref="G4:T4" si="0">F4+1</f>
        <v>2025</v>
      </c>
      <c r="H4" s="91">
        <f t="shared" si="0"/>
        <v>2026</v>
      </c>
      <c r="I4" s="91">
        <f t="shared" si="0"/>
        <v>2027</v>
      </c>
      <c r="J4" s="91">
        <f t="shared" si="0"/>
        <v>2028</v>
      </c>
      <c r="K4" s="91">
        <f t="shared" si="0"/>
        <v>2029</v>
      </c>
      <c r="L4" s="91">
        <f t="shared" si="0"/>
        <v>2030</v>
      </c>
      <c r="M4" s="91">
        <f t="shared" si="0"/>
        <v>2031</v>
      </c>
      <c r="N4" s="91">
        <f t="shared" si="0"/>
        <v>2032</v>
      </c>
      <c r="O4" s="91">
        <f t="shared" si="0"/>
        <v>2033</v>
      </c>
      <c r="P4" s="91">
        <f t="shared" si="0"/>
        <v>2034</v>
      </c>
      <c r="Q4" s="91">
        <f t="shared" si="0"/>
        <v>2035</v>
      </c>
      <c r="R4" s="91">
        <f t="shared" si="0"/>
        <v>2036</v>
      </c>
      <c r="S4" s="91">
        <f t="shared" si="0"/>
        <v>2037</v>
      </c>
      <c r="T4" s="91">
        <f t="shared" si="0"/>
        <v>2038</v>
      </c>
    </row>
    <row r="5" spans="2:50" customFormat="1" ht="14.4">
      <c r="B5" s="158" t="s">
        <v>292</v>
      </c>
      <c r="C5" s="35"/>
      <c r="D5" s="35"/>
      <c r="E5" s="35"/>
      <c r="F5" s="93">
        <v>31</v>
      </c>
      <c r="G5" s="93">
        <v>31</v>
      </c>
      <c r="H5" s="93">
        <v>31</v>
      </c>
      <c r="I5" s="93">
        <v>31</v>
      </c>
      <c r="J5" s="93">
        <v>31</v>
      </c>
      <c r="K5" s="93">
        <v>31</v>
      </c>
      <c r="L5" s="93">
        <v>31</v>
      </c>
      <c r="M5" s="93">
        <v>31</v>
      </c>
      <c r="N5" s="93">
        <v>31</v>
      </c>
      <c r="O5" s="93">
        <v>31</v>
      </c>
      <c r="P5" s="93">
        <v>31</v>
      </c>
      <c r="Q5" s="93">
        <v>31</v>
      </c>
      <c r="R5" s="93">
        <v>31</v>
      </c>
      <c r="S5" s="93">
        <v>31</v>
      </c>
      <c r="T5" s="93">
        <v>31</v>
      </c>
    </row>
    <row r="6" spans="2:50" customFormat="1" ht="14.4">
      <c r="B6" s="158" t="s">
        <v>293</v>
      </c>
      <c r="C6" s="35"/>
      <c r="D6" s="35"/>
      <c r="E6" s="35"/>
      <c r="F6" s="93">
        <v>31</v>
      </c>
      <c r="G6" s="93">
        <v>31</v>
      </c>
      <c r="H6" s="93">
        <v>31</v>
      </c>
      <c r="I6" s="93">
        <v>31</v>
      </c>
      <c r="J6" s="93">
        <v>31</v>
      </c>
      <c r="K6" s="93">
        <v>31</v>
      </c>
      <c r="L6" s="93">
        <v>31</v>
      </c>
      <c r="M6" s="93">
        <v>31</v>
      </c>
      <c r="N6" s="93">
        <v>31</v>
      </c>
      <c r="O6" s="93">
        <v>31</v>
      </c>
      <c r="P6" s="93">
        <v>31</v>
      </c>
      <c r="Q6" s="93">
        <v>31</v>
      </c>
      <c r="R6" s="93">
        <v>31</v>
      </c>
      <c r="S6" s="93">
        <v>31</v>
      </c>
      <c r="T6" s="93">
        <v>31</v>
      </c>
    </row>
    <row r="7" spans="2:50" customFormat="1" ht="14.4">
      <c r="B7" s="158" t="s">
        <v>294</v>
      </c>
      <c r="C7" s="35"/>
      <c r="D7" s="35"/>
      <c r="E7" s="35"/>
      <c r="F7" s="93">
        <v>31</v>
      </c>
      <c r="G7" s="93">
        <v>31</v>
      </c>
      <c r="H7" s="93">
        <v>31</v>
      </c>
      <c r="I7" s="93">
        <v>31</v>
      </c>
      <c r="J7" s="93">
        <v>31</v>
      </c>
      <c r="K7" s="93">
        <v>31</v>
      </c>
      <c r="L7" s="93">
        <v>31</v>
      </c>
      <c r="M7" s="93">
        <v>31</v>
      </c>
      <c r="N7" s="93">
        <v>31</v>
      </c>
      <c r="O7" s="93">
        <v>31</v>
      </c>
      <c r="P7" s="93">
        <v>31</v>
      </c>
      <c r="Q7" s="93">
        <v>31</v>
      </c>
      <c r="R7" s="93">
        <v>31</v>
      </c>
      <c r="S7" s="93">
        <v>31</v>
      </c>
      <c r="T7" s="93">
        <v>31</v>
      </c>
    </row>
    <row r="8" spans="2:50" customFormat="1" ht="14.4">
      <c r="B8" s="158" t="s">
        <v>295</v>
      </c>
      <c r="C8" s="35"/>
      <c r="D8" s="35"/>
      <c r="E8" s="35"/>
      <c r="F8" s="92">
        <v>41.338205740690249</v>
      </c>
      <c r="G8" s="92">
        <v>40.166535496006333</v>
      </c>
      <c r="H8" s="92">
        <v>39.48716954013689</v>
      </c>
      <c r="I8" s="92">
        <v>40.94350395552901</v>
      </c>
      <c r="J8" s="92">
        <v>38.253385716734087</v>
      </c>
      <c r="K8" s="92">
        <v>34.375688838644493</v>
      </c>
      <c r="L8" s="92">
        <v>32.500613975464702</v>
      </c>
      <c r="M8" s="92">
        <v>31.822788503264199</v>
      </c>
      <c r="N8" s="92">
        <v>31.292645510615827</v>
      </c>
      <c r="O8" s="92">
        <v>29.68474569235353</v>
      </c>
      <c r="P8" s="92">
        <v>28.397890368737684</v>
      </c>
      <c r="Q8" s="92">
        <v>27.733346075799716</v>
      </c>
      <c r="R8" s="92">
        <v>27.176364549590961</v>
      </c>
      <c r="S8" s="92">
        <v>26.837457589136381</v>
      </c>
      <c r="T8" s="92">
        <v>26.477328833994942</v>
      </c>
    </row>
    <row r="9" spans="2:50" ht="14.4"/>
    <row r="10" spans="2:50" ht="14.4">
      <c r="B10" s="1" t="s">
        <v>372</v>
      </c>
    </row>
    <row r="11" spans="2:50" ht="14.4"/>
    <row r="12" spans="2:50" ht="14.4"/>
    <row r="13" spans="2:50" s="80" customFormat="1" ht="15" customHeight="1">
      <c r="B13" s="58" t="s">
        <v>211</v>
      </c>
    </row>
    <row r="15" spans="2:50" ht="15" customHeight="1">
      <c r="B15" s="152" t="s">
        <v>244</v>
      </c>
      <c r="C15" s="154">
        <v>2021</v>
      </c>
      <c r="D15" s="154">
        <v>2022</v>
      </c>
      <c r="E15" s="154">
        <v>2023</v>
      </c>
      <c r="F15" s="155">
        <f>E15+1</f>
        <v>2024</v>
      </c>
      <c r="G15" s="155">
        <f t="shared" ref="G15:AF15" si="1">F15+1</f>
        <v>2025</v>
      </c>
      <c r="H15" s="155">
        <f t="shared" si="1"/>
        <v>2026</v>
      </c>
      <c r="I15" s="155">
        <f t="shared" si="1"/>
        <v>2027</v>
      </c>
      <c r="J15" s="155">
        <f t="shared" si="1"/>
        <v>2028</v>
      </c>
      <c r="K15" s="155">
        <f t="shared" si="1"/>
        <v>2029</v>
      </c>
      <c r="L15" s="155">
        <f t="shared" si="1"/>
        <v>2030</v>
      </c>
      <c r="M15" s="155">
        <f t="shared" si="1"/>
        <v>2031</v>
      </c>
      <c r="N15" s="155">
        <f t="shared" si="1"/>
        <v>2032</v>
      </c>
      <c r="O15" s="155">
        <f t="shared" si="1"/>
        <v>2033</v>
      </c>
      <c r="P15" s="155">
        <f t="shared" si="1"/>
        <v>2034</v>
      </c>
      <c r="Q15" s="155">
        <f t="shared" si="1"/>
        <v>2035</v>
      </c>
      <c r="R15" s="155">
        <f t="shared" si="1"/>
        <v>2036</v>
      </c>
      <c r="S15" s="155">
        <f t="shared" si="1"/>
        <v>2037</v>
      </c>
      <c r="T15" s="155">
        <f t="shared" si="1"/>
        <v>2038</v>
      </c>
      <c r="U15" s="155">
        <f t="shared" si="1"/>
        <v>2039</v>
      </c>
      <c r="V15" s="155">
        <f t="shared" si="1"/>
        <v>2040</v>
      </c>
      <c r="W15" s="155">
        <f t="shared" si="1"/>
        <v>2041</v>
      </c>
      <c r="X15" s="155">
        <f t="shared" si="1"/>
        <v>2042</v>
      </c>
      <c r="Y15" s="155">
        <f t="shared" si="1"/>
        <v>2043</v>
      </c>
      <c r="Z15" s="155">
        <f t="shared" si="1"/>
        <v>2044</v>
      </c>
      <c r="AA15" s="155">
        <f t="shared" si="1"/>
        <v>2045</v>
      </c>
      <c r="AB15" s="155">
        <f t="shared" si="1"/>
        <v>2046</v>
      </c>
      <c r="AC15" s="155">
        <f t="shared" si="1"/>
        <v>2047</v>
      </c>
      <c r="AD15" s="155">
        <f t="shared" si="1"/>
        <v>2048</v>
      </c>
      <c r="AE15" s="155">
        <f t="shared" si="1"/>
        <v>2049</v>
      </c>
      <c r="AF15" s="155">
        <f t="shared" si="1"/>
        <v>2050</v>
      </c>
    </row>
    <row r="16" spans="2:50" s="97" customFormat="1" ht="15" customHeight="1">
      <c r="B16" s="104" t="s">
        <v>260</v>
      </c>
      <c r="C16" s="156">
        <v>0.14594895606019295</v>
      </c>
      <c r="D16" s="156">
        <v>0.13636256314914272</v>
      </c>
      <c r="E16" s="156">
        <v>0.13080411441930184</v>
      </c>
      <c r="F16" s="156">
        <v>0.14271957781796465</v>
      </c>
      <c r="G16" s="156">
        <v>0.12070951950055164</v>
      </c>
      <c r="H16" s="156">
        <v>8.8982908679818548E-2</v>
      </c>
      <c r="I16" s="156">
        <v>7.3641387071983908E-2</v>
      </c>
      <c r="J16" s="156">
        <v>6.8095542299434375E-2</v>
      </c>
      <c r="K16" s="156">
        <v>6.3758008723220419E-2</v>
      </c>
      <c r="L16" s="156">
        <v>5.0602464755619796E-2</v>
      </c>
      <c r="M16" s="156">
        <v>4.0073648471490149E-2</v>
      </c>
      <c r="N16" s="156">
        <v>3.4636467892906767E-2</v>
      </c>
      <c r="O16" s="156">
        <v>3.0079346314835137E-2</v>
      </c>
      <c r="P16" s="156">
        <v>2.7306471183843117E-2</v>
      </c>
      <c r="Q16" s="156">
        <v>2.4359963187231357E-2</v>
      </c>
      <c r="R16" s="156">
        <v>2.0151152674820948E-2</v>
      </c>
      <c r="S16" s="156">
        <v>1.7923693200098494E-2</v>
      </c>
      <c r="T16" s="156">
        <v>1.7508069717807766E-2</v>
      </c>
      <c r="U16" s="156">
        <v>1.6577274017310833E-2</v>
      </c>
      <c r="V16" s="156">
        <v>1.5021658698556857E-2</v>
      </c>
      <c r="W16" s="156">
        <v>1.2470055748292005E-2</v>
      </c>
      <c r="X16" s="156">
        <v>1.1834272293394109E-2</v>
      </c>
      <c r="Y16" s="156">
        <v>1.159265663783959E-2</v>
      </c>
      <c r="Z16" s="156">
        <v>1.0895924975333761E-2</v>
      </c>
      <c r="AA16" s="156">
        <v>9.2531673895783276E-3</v>
      </c>
      <c r="AB16" s="156">
        <v>8.4010988937208535E-3</v>
      </c>
      <c r="AC16" s="156">
        <v>7.7461661206303239E-3</v>
      </c>
      <c r="AD16" s="156">
        <v>7.351916580840492E-3</v>
      </c>
      <c r="AE16" s="156">
        <v>6.8412596173178918E-3</v>
      </c>
      <c r="AF16" s="156">
        <v>6.7238076579303396E-3</v>
      </c>
      <c r="AL16" s="98"/>
      <c r="AM16" s="98"/>
      <c r="AN16" s="98"/>
      <c r="AO16" s="98"/>
      <c r="AP16" s="98"/>
      <c r="AQ16" s="98"/>
      <c r="AR16" s="98"/>
      <c r="AS16" s="98"/>
      <c r="AT16" s="98"/>
      <c r="AU16" s="98"/>
      <c r="AV16" s="98"/>
      <c r="AW16" s="98"/>
      <c r="AX16" s="98"/>
    </row>
    <row r="17" spans="2:57" ht="15" customHeight="1">
      <c r="B17" s="105" t="s">
        <v>261</v>
      </c>
      <c r="C17" s="157"/>
      <c r="D17" s="157"/>
      <c r="E17" s="157"/>
      <c r="F17" s="85">
        <f>C16*1000/3.6</f>
        <v>40.541376683386929</v>
      </c>
      <c r="G17" s="85">
        <f t="shared" ref="G17:AF17" si="2">D16*1000/3.6</f>
        <v>37.878489763650755</v>
      </c>
      <c r="H17" s="85">
        <f t="shared" si="2"/>
        <v>36.334476227583842</v>
      </c>
      <c r="I17" s="85">
        <f t="shared" si="2"/>
        <v>39.644327171656847</v>
      </c>
      <c r="J17" s="85">
        <f t="shared" si="2"/>
        <v>33.530422083486563</v>
      </c>
      <c r="K17" s="85">
        <f t="shared" si="2"/>
        <v>24.717474633282929</v>
      </c>
      <c r="L17" s="85">
        <f t="shared" si="2"/>
        <v>20.455940853328865</v>
      </c>
      <c r="M17" s="85">
        <f t="shared" si="2"/>
        <v>18.915428416509545</v>
      </c>
      <c r="N17" s="85">
        <f t="shared" si="2"/>
        <v>17.710557978672337</v>
      </c>
      <c r="O17" s="85">
        <f t="shared" si="2"/>
        <v>14.056240209894389</v>
      </c>
      <c r="P17" s="85">
        <f t="shared" si="2"/>
        <v>11.131569019858375</v>
      </c>
      <c r="Q17" s="85">
        <f t="shared" si="2"/>
        <v>9.6212410813629905</v>
      </c>
      <c r="R17" s="85">
        <f t="shared" si="2"/>
        <v>8.3553739763430936</v>
      </c>
      <c r="S17" s="85">
        <f t="shared" si="2"/>
        <v>7.5851308844008649</v>
      </c>
      <c r="T17" s="85">
        <f t="shared" si="2"/>
        <v>6.7666564408975995</v>
      </c>
      <c r="U17" s="85">
        <f t="shared" si="2"/>
        <v>5.597542409672486</v>
      </c>
      <c r="V17" s="85">
        <f t="shared" si="2"/>
        <v>4.9788036666940263</v>
      </c>
      <c r="W17" s="85">
        <f t="shared" si="2"/>
        <v>4.8633526993910454</v>
      </c>
      <c r="X17" s="85">
        <f t="shared" si="2"/>
        <v>4.6047983381418973</v>
      </c>
      <c r="Y17" s="85">
        <f t="shared" si="2"/>
        <v>4.1726829718213487</v>
      </c>
      <c r="Z17" s="85">
        <f t="shared" si="2"/>
        <v>3.4639043745255567</v>
      </c>
      <c r="AA17" s="85">
        <f t="shared" si="2"/>
        <v>3.2872978592761415</v>
      </c>
      <c r="AB17" s="85">
        <f t="shared" si="2"/>
        <v>3.2201823993998864</v>
      </c>
      <c r="AC17" s="85">
        <f t="shared" si="2"/>
        <v>3.0266458264816003</v>
      </c>
      <c r="AD17" s="85">
        <f t="shared" si="2"/>
        <v>2.5703242748828687</v>
      </c>
      <c r="AE17" s="85">
        <f t="shared" si="2"/>
        <v>2.3336385815891258</v>
      </c>
      <c r="AF17" s="85">
        <f t="shared" si="2"/>
        <v>2.1517128112862012</v>
      </c>
      <c r="AL17" s="60"/>
      <c r="AM17" s="60"/>
      <c r="AN17" s="60"/>
      <c r="AO17" s="60"/>
      <c r="AP17" s="60"/>
      <c r="AQ17" s="60"/>
      <c r="AR17" s="60"/>
      <c r="AS17" s="60"/>
      <c r="AT17" s="60"/>
      <c r="AU17" s="60"/>
      <c r="AV17" s="60"/>
      <c r="AW17" s="60"/>
      <c r="AX17" s="60"/>
    </row>
    <row r="18" spans="2:57" ht="15" customHeight="1">
      <c r="B18" s="33"/>
      <c r="L18" s="77"/>
      <c r="AF18" s="60"/>
      <c r="AG18" s="60"/>
      <c r="AH18" s="60"/>
      <c r="AI18" s="60"/>
      <c r="AJ18" s="60"/>
      <c r="AK18" s="60"/>
      <c r="AL18" s="60"/>
      <c r="AM18" s="60"/>
      <c r="AN18" s="60"/>
      <c r="AO18" s="60"/>
      <c r="AP18" s="60"/>
      <c r="AQ18" s="60"/>
      <c r="AR18" s="60"/>
      <c r="AS18" s="60"/>
      <c r="AT18" s="60"/>
      <c r="AU18" s="60"/>
      <c r="AV18" s="60"/>
      <c r="AW18" s="60"/>
      <c r="AX18" s="60"/>
    </row>
    <row r="19" spans="2:57" ht="15" customHeight="1">
      <c r="B19" s="82" t="s">
        <v>243</v>
      </c>
      <c r="AL19" s="61"/>
      <c r="AM19" s="60"/>
      <c r="AN19" s="61"/>
      <c r="AO19" s="60"/>
      <c r="AP19" s="61"/>
      <c r="AQ19" s="60"/>
      <c r="AR19" s="61"/>
      <c r="AS19" s="60"/>
      <c r="AT19" s="61"/>
      <c r="AU19" s="60"/>
      <c r="AV19" s="61"/>
      <c r="AW19" s="60"/>
      <c r="AX19" s="61"/>
      <c r="AY19" s="60"/>
      <c r="AZ19" s="61"/>
      <c r="BA19" s="60"/>
      <c r="BB19" s="61"/>
      <c r="BC19" s="60"/>
      <c r="BD19" s="61"/>
      <c r="BE19" s="60"/>
    </row>
    <row r="20" spans="2:57" ht="15" customHeight="1">
      <c r="B20" s="34" t="s">
        <v>212</v>
      </c>
      <c r="C20" s="60"/>
      <c r="D20" s="60"/>
      <c r="E20" s="86"/>
      <c r="F20" s="86"/>
      <c r="G20" s="86"/>
      <c r="H20" s="86"/>
      <c r="I20" s="86"/>
      <c r="J20" s="60"/>
      <c r="K20" s="60"/>
      <c r="L20" s="60"/>
      <c r="M20" s="60"/>
      <c r="N20" s="60"/>
      <c r="O20" s="60"/>
      <c r="P20" s="60"/>
      <c r="Q20" s="60"/>
      <c r="R20" s="60"/>
      <c r="S20" s="60"/>
      <c r="T20" s="60"/>
      <c r="U20" s="60"/>
      <c r="V20" s="60"/>
      <c r="W20" s="60"/>
      <c r="X20" s="60"/>
      <c r="Y20" s="60"/>
      <c r="Z20" s="60"/>
      <c r="AA20" s="60"/>
      <c r="AB20" s="61"/>
      <c r="AC20" s="60"/>
      <c r="AD20" s="61"/>
      <c r="AE20" s="60"/>
      <c r="AF20" s="61"/>
      <c r="AG20" s="60"/>
      <c r="AH20" s="61"/>
      <c r="AI20" s="60"/>
      <c r="AJ20" s="61"/>
      <c r="AK20" s="60"/>
      <c r="AL20" s="61"/>
      <c r="AM20" s="60"/>
      <c r="AN20" s="61"/>
      <c r="AO20" s="60"/>
      <c r="AP20" s="61"/>
      <c r="AQ20" s="60"/>
      <c r="AR20" s="61"/>
      <c r="AS20" s="60"/>
      <c r="AT20" s="61"/>
      <c r="AU20" s="60"/>
      <c r="AV20" s="61"/>
      <c r="AW20" s="60"/>
      <c r="AX20" s="61"/>
      <c r="AY20" s="60"/>
      <c r="AZ20" s="61"/>
      <c r="BA20" s="60"/>
      <c r="BB20" s="61"/>
      <c r="BC20" s="60"/>
      <c r="BD20" s="61"/>
      <c r="BE20" s="60"/>
    </row>
    <row r="21" spans="2:57" ht="15" customHeight="1">
      <c r="B21" s="82" t="s">
        <v>255</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1"/>
      <c r="AC21" s="60"/>
      <c r="AD21" s="61"/>
      <c r="AE21" s="60"/>
      <c r="AF21" s="61"/>
      <c r="AG21" s="60"/>
      <c r="AH21" s="61"/>
      <c r="AI21" s="60"/>
      <c r="AJ21" s="61"/>
      <c r="AK21" s="60"/>
      <c r="AL21" s="61"/>
      <c r="AM21" s="60"/>
      <c r="AN21" s="61"/>
      <c r="AO21" s="60"/>
      <c r="AP21" s="61"/>
      <c r="AQ21" s="60"/>
      <c r="AR21" s="61"/>
      <c r="AS21" s="60"/>
      <c r="AT21" s="61"/>
      <c r="AU21" s="60"/>
      <c r="AV21" s="61"/>
      <c r="AW21" s="60"/>
      <c r="AX21" s="61"/>
      <c r="AY21" s="60"/>
      <c r="AZ21" s="61"/>
      <c r="BA21" s="60"/>
      <c r="BB21" s="61"/>
      <c r="BC21" s="60"/>
      <c r="BD21" s="61"/>
      <c r="BE21" s="60"/>
    </row>
    <row r="22" spans="2:57" ht="15" customHeight="1">
      <c r="B22" s="82" t="s">
        <v>256</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1"/>
      <c r="AC22" s="60"/>
      <c r="AD22" s="61"/>
      <c r="AE22" s="60"/>
      <c r="AF22" s="61"/>
      <c r="AG22" s="60"/>
      <c r="AH22" s="61"/>
      <c r="AI22" s="60"/>
      <c r="AJ22" s="61"/>
      <c r="AK22" s="60"/>
      <c r="AL22" s="61"/>
      <c r="AM22" s="60"/>
      <c r="AN22" s="61"/>
      <c r="AO22" s="60"/>
      <c r="AP22" s="61"/>
      <c r="AQ22" s="60"/>
      <c r="AR22" s="61"/>
      <c r="AS22" s="60"/>
      <c r="AT22" s="61"/>
      <c r="AU22" s="60"/>
      <c r="AV22" s="61"/>
      <c r="AW22" s="60"/>
      <c r="AX22" s="61"/>
      <c r="AY22" s="60"/>
      <c r="AZ22" s="61"/>
      <c r="BA22" s="60"/>
      <c r="BB22" s="61"/>
      <c r="BC22" s="60"/>
      <c r="BD22" s="61"/>
      <c r="BE22" s="60"/>
    </row>
    <row r="23" spans="2:57" ht="15" customHeight="1">
      <c r="B23" s="159" t="s">
        <v>245</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1"/>
      <c r="AC23" s="60"/>
      <c r="AD23" s="61"/>
      <c r="AE23" s="60"/>
      <c r="AF23" s="61"/>
      <c r="AG23" s="60"/>
      <c r="AH23" s="61"/>
      <c r="AI23" s="60"/>
      <c r="AJ23" s="61"/>
      <c r="AK23" s="60"/>
      <c r="AL23" s="61"/>
      <c r="AM23" s="60"/>
      <c r="AN23" s="61"/>
      <c r="AO23" s="60"/>
      <c r="AP23" s="61"/>
      <c r="AQ23" s="60"/>
      <c r="AR23" s="61"/>
      <c r="AS23" s="60"/>
      <c r="AT23" s="61"/>
      <c r="AU23" s="60"/>
      <c r="AV23" s="61"/>
      <c r="AW23" s="60"/>
      <c r="AX23" s="61"/>
      <c r="AY23" s="60"/>
      <c r="AZ23" s="61"/>
      <c r="BA23" s="60"/>
      <c r="BB23" s="61"/>
      <c r="BC23" s="60"/>
      <c r="BD23" s="61"/>
      <c r="BE23" s="60"/>
    </row>
    <row r="24" spans="2:57" ht="15" customHeight="1">
      <c r="B24" s="87"/>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1"/>
      <c r="AC24" s="60"/>
      <c r="AD24" s="61"/>
      <c r="AE24" s="60"/>
      <c r="AF24" s="61"/>
      <c r="AG24" s="60"/>
      <c r="AH24" s="61"/>
      <c r="AI24" s="60"/>
      <c r="AJ24" s="61"/>
      <c r="AK24" s="60"/>
      <c r="AL24" s="61"/>
      <c r="AM24" s="60"/>
      <c r="AN24" s="61"/>
      <c r="AO24" s="60"/>
      <c r="AP24" s="61"/>
      <c r="AQ24" s="60"/>
      <c r="AR24" s="61"/>
      <c r="AS24" s="60"/>
      <c r="AT24" s="61"/>
      <c r="AU24" s="60"/>
      <c r="AV24" s="61"/>
      <c r="AW24" s="60"/>
      <c r="AX24" s="61"/>
      <c r="AY24" s="60"/>
      <c r="AZ24" s="61"/>
      <c r="BA24" s="60"/>
      <c r="BB24" s="61"/>
      <c r="BC24" s="60"/>
      <c r="BD24" s="61"/>
      <c r="BE24" s="60"/>
    </row>
    <row r="25" spans="2:57" ht="15" customHeight="1">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1"/>
      <c r="AC25" s="60"/>
      <c r="AD25" s="61"/>
      <c r="AE25" s="60"/>
      <c r="AF25" s="61"/>
      <c r="AG25" s="60"/>
      <c r="AH25" s="61"/>
      <c r="AI25" s="60"/>
      <c r="AJ25" s="61"/>
      <c r="AK25" s="60"/>
      <c r="AL25" s="61"/>
      <c r="AM25" s="60"/>
      <c r="AN25" s="61"/>
      <c r="AO25" s="60"/>
      <c r="AP25" s="61"/>
      <c r="AQ25" s="60"/>
      <c r="AR25" s="61"/>
      <c r="AS25" s="60"/>
      <c r="AT25" s="61"/>
      <c r="AU25" s="60"/>
      <c r="AV25" s="61"/>
      <c r="AW25" s="60"/>
      <c r="AX25" s="61"/>
      <c r="AY25" s="60"/>
      <c r="AZ25" s="61"/>
      <c r="BA25" s="60"/>
      <c r="BB25" s="61"/>
      <c r="BC25" s="60"/>
      <c r="BD25" s="61"/>
      <c r="BE25" s="60"/>
    </row>
    <row r="26" spans="2:57" s="80" customFormat="1" ht="15" customHeight="1">
      <c r="B26" s="162" t="s">
        <v>150</v>
      </c>
      <c r="C26" s="162" t="s">
        <v>141</v>
      </c>
      <c r="E26" s="162"/>
      <c r="F26" s="162"/>
      <c r="G26" s="163"/>
      <c r="H26" s="163"/>
      <c r="I26" s="163"/>
      <c r="J26" s="163"/>
      <c r="K26" s="163"/>
      <c r="L26" s="163"/>
      <c r="M26" s="163"/>
      <c r="N26" s="163"/>
      <c r="O26" s="163"/>
      <c r="P26" s="163"/>
      <c r="Q26" s="163"/>
      <c r="R26" s="163"/>
      <c r="S26" s="163"/>
      <c r="T26" s="163"/>
      <c r="U26" s="163"/>
      <c r="V26" s="163"/>
      <c r="W26" s="163"/>
      <c r="X26" s="163"/>
      <c r="Y26" s="163"/>
      <c r="Z26" s="163"/>
      <c r="AA26" s="163"/>
      <c r="AB26" s="164"/>
      <c r="AC26" s="163"/>
      <c r="AD26" s="164"/>
      <c r="AE26" s="163"/>
      <c r="AF26" s="164"/>
      <c r="AG26" s="163"/>
      <c r="AH26" s="164"/>
      <c r="AI26" s="163"/>
      <c r="AJ26" s="164"/>
      <c r="AK26" s="163"/>
      <c r="AL26" s="164"/>
      <c r="AM26" s="163"/>
      <c r="AN26" s="164"/>
      <c r="AO26" s="163"/>
      <c r="AP26" s="164"/>
      <c r="AQ26" s="163"/>
      <c r="AR26" s="164"/>
      <c r="AS26" s="163"/>
      <c r="AT26" s="164"/>
      <c r="AU26" s="163"/>
      <c r="AV26" s="164"/>
      <c r="AW26" s="163"/>
      <c r="AX26" s="164"/>
      <c r="AY26" s="163"/>
      <c r="AZ26" s="164"/>
      <c r="BA26" s="163"/>
      <c r="BB26" s="164"/>
      <c r="BC26" s="163"/>
      <c r="BD26" s="164"/>
      <c r="BE26" s="163"/>
    </row>
    <row r="27" spans="2:57" ht="15" customHeight="1">
      <c r="B27" s="63"/>
      <c r="C27" s="63"/>
      <c r="D27" s="63"/>
      <c r="E27" s="63"/>
      <c r="F27" s="63"/>
      <c r="G27" s="60"/>
      <c r="H27" s="60"/>
      <c r="I27" s="60"/>
      <c r="J27" s="60"/>
      <c r="K27" s="60"/>
      <c r="L27" s="60"/>
      <c r="M27" s="60"/>
      <c r="N27" s="60"/>
      <c r="O27" s="60"/>
      <c r="P27" s="60"/>
      <c r="Q27" s="60"/>
      <c r="R27" s="60"/>
      <c r="S27" s="60"/>
      <c r="T27" s="60"/>
      <c r="U27" s="60"/>
      <c r="V27" s="60"/>
      <c r="W27" s="60"/>
      <c r="X27" s="60"/>
      <c r="Y27" s="60"/>
      <c r="Z27" s="60"/>
      <c r="AA27" s="60"/>
      <c r="AB27" s="61"/>
      <c r="AC27" s="60"/>
      <c r="AD27" s="61"/>
      <c r="AE27" s="60"/>
      <c r="AF27" s="61"/>
      <c r="AG27" s="60"/>
      <c r="AH27" s="61"/>
      <c r="AI27" s="60"/>
      <c r="AJ27" s="61"/>
      <c r="AK27" s="60"/>
      <c r="AL27" s="61"/>
      <c r="AM27" s="60"/>
      <c r="AN27" s="61"/>
      <c r="AO27" s="60"/>
      <c r="AP27" s="61"/>
      <c r="AQ27" s="60"/>
      <c r="AR27" s="61"/>
      <c r="AS27" s="60"/>
      <c r="AT27" s="61"/>
      <c r="AU27" s="60"/>
      <c r="AV27" s="61"/>
      <c r="AW27" s="60"/>
      <c r="AX27" s="61"/>
      <c r="AY27" s="60"/>
      <c r="AZ27" s="61"/>
      <c r="BA27" s="60"/>
      <c r="BB27" s="61"/>
      <c r="BC27" s="60"/>
      <c r="BD27" s="61"/>
      <c r="BE27" s="60"/>
    </row>
    <row r="28" spans="2:57" ht="15" customHeight="1">
      <c r="B28" s="63" t="s">
        <v>151</v>
      </c>
      <c r="C28" s="34" t="s">
        <v>200</v>
      </c>
    </row>
    <row r="29" spans="2:57" ht="15" customHeight="1">
      <c r="B29" s="1" t="s">
        <v>152</v>
      </c>
      <c r="C29" s="34" t="s">
        <v>153</v>
      </c>
    </row>
    <row r="30" spans="2:57" ht="15" customHeight="1">
      <c r="B30" s="1" t="s">
        <v>154</v>
      </c>
      <c r="C30" s="34" t="s">
        <v>155</v>
      </c>
    </row>
    <row r="31" spans="2:57" ht="15" customHeight="1">
      <c r="B31" s="1" t="s">
        <v>233</v>
      </c>
      <c r="C31" s="34" t="s">
        <v>234</v>
      </c>
    </row>
    <row r="32" spans="2:57" ht="15" customHeight="1">
      <c r="B32" s="1" t="s">
        <v>203</v>
      </c>
      <c r="C32" s="34" t="s">
        <v>204</v>
      </c>
    </row>
    <row r="33" spans="2:6" ht="15" customHeight="1">
      <c r="B33" s="62"/>
      <c r="C33" s="62"/>
    </row>
    <row r="34" spans="2:6" ht="15" customHeight="1">
      <c r="B34" s="64" t="s">
        <v>207</v>
      </c>
      <c r="C34" s="34" t="s">
        <v>206</v>
      </c>
    </row>
    <row r="35" spans="2:6" ht="15" customHeight="1">
      <c r="B35" s="63" t="s">
        <v>374</v>
      </c>
      <c r="C35" s="34" t="s">
        <v>373</v>
      </c>
    </row>
    <row r="36" spans="2:6" ht="15" customHeight="1">
      <c r="B36" s="63" t="s">
        <v>221</v>
      </c>
      <c r="C36" s="34" t="s">
        <v>222</v>
      </c>
    </row>
    <row r="37" spans="2:6" ht="15" customHeight="1">
      <c r="C37" s="34"/>
    </row>
    <row r="38" spans="2:6" ht="15" customHeight="1">
      <c r="B38" s="63" t="s">
        <v>213</v>
      </c>
      <c r="C38" s="75" t="s">
        <v>214</v>
      </c>
    </row>
    <row r="39" spans="2:6" ht="15" customHeight="1">
      <c r="B39" s="63" t="s">
        <v>215</v>
      </c>
      <c r="C39" s="75" t="s">
        <v>216</v>
      </c>
    </row>
    <row r="40" spans="2:6" ht="15" customHeight="1">
      <c r="B40" s="63" t="s">
        <v>217</v>
      </c>
      <c r="C40" s="75" t="s">
        <v>218</v>
      </c>
    </row>
    <row r="41" spans="2:6" ht="15" customHeight="1">
      <c r="B41" s="63" t="s">
        <v>219</v>
      </c>
      <c r="C41" s="75" t="s">
        <v>220</v>
      </c>
    </row>
    <row r="42" spans="2:6" ht="15" customHeight="1">
      <c r="C42" s="34"/>
    </row>
    <row r="43" spans="2:6" ht="15" customHeight="1">
      <c r="B43" s="76" t="s">
        <v>227</v>
      </c>
      <c r="C43" s="34"/>
    </row>
    <row r="44" spans="2:6" ht="15" customHeight="1">
      <c r="B44" s="1" t="s">
        <v>156</v>
      </c>
      <c r="C44" s="75" t="s">
        <v>223</v>
      </c>
    </row>
    <row r="45" spans="2:6" ht="15" customHeight="1">
      <c r="B45" s="63" t="s">
        <v>157</v>
      </c>
      <c r="C45" s="34" t="s">
        <v>158</v>
      </c>
    </row>
    <row r="46" spans="2:6" ht="15" customHeight="1">
      <c r="B46" s="63" t="s">
        <v>229</v>
      </c>
      <c r="C46" s="34" t="s">
        <v>201</v>
      </c>
    </row>
    <row r="47" spans="2:6" ht="15" customHeight="1">
      <c r="B47" s="72" t="s">
        <v>230</v>
      </c>
      <c r="C47" s="73" t="s">
        <v>202</v>
      </c>
      <c r="E47" s="63"/>
      <c r="F47" s="63"/>
    </row>
    <row r="48" spans="2:6" ht="15" customHeight="1">
      <c r="B48" s="63"/>
      <c r="C48" s="34"/>
    </row>
    <row r="49" spans="2:3" ht="15" customHeight="1">
      <c r="B49" s="64" t="s">
        <v>159</v>
      </c>
      <c r="C49" s="34" t="s">
        <v>160</v>
      </c>
    </row>
    <row r="50" spans="2:3" ht="15" customHeight="1">
      <c r="B50" s="64" t="s">
        <v>161</v>
      </c>
      <c r="C50" s="34" t="s">
        <v>162</v>
      </c>
    </row>
    <row r="51" spans="2:3" ht="15" customHeight="1">
      <c r="B51" s="64" t="s">
        <v>198</v>
      </c>
      <c r="C51" s="34" t="s">
        <v>197</v>
      </c>
    </row>
    <row r="52" spans="2:3" ht="15" customHeight="1">
      <c r="B52" s="64" t="s">
        <v>224</v>
      </c>
      <c r="C52" s="34" t="s">
        <v>225</v>
      </c>
    </row>
    <row r="53" spans="2:3" ht="15" customHeight="1">
      <c r="B53" s="64" t="s">
        <v>226</v>
      </c>
      <c r="C53" s="34" t="s">
        <v>163</v>
      </c>
    </row>
    <row r="54" spans="2:3" ht="15" customHeight="1">
      <c r="B54" s="64"/>
      <c r="C54" s="34"/>
    </row>
    <row r="55" spans="2:3" ht="15" customHeight="1">
      <c r="B55" s="1" t="s">
        <v>164</v>
      </c>
      <c r="C55" s="34" t="s">
        <v>199</v>
      </c>
    </row>
    <row r="56" spans="2:3" ht="15" customHeight="1">
      <c r="B56" s="1" t="s">
        <v>228</v>
      </c>
      <c r="C56" s="34" t="s">
        <v>205</v>
      </c>
    </row>
  </sheetData>
  <hyperlinks>
    <hyperlink ref="C47" r:id="rId1" xr:uid="{0F38376D-DA6F-49D7-BEEA-F5C5D19911ED}"/>
    <hyperlink ref="C32" r:id="rId2" display="https://eur01.safelinks.protection.outlook.com/?url=https%3A%2F%2Fwww.gov.uk%2Fgovernment%2Fconsultations%2Fmandating-the-use-of-sustainable-aviation-fuels-in-the-uk&amp;data=05%7C01%7Cvon.chua%40e4tech.com%7C6c43196d55c247d8ecda08da220ab27e%7Cf2fe6bd39c4a485bae69e18820a88130%7C0%7C0%7C637859726588645422%7CUnknown%7CTWFpbGZsb3d8eyJWIjoiMC4wLjAwMDAiLCJQIjoiV2luMzIiLCJBTiI6Ik1haWwiLCJXVCI6Mn0%3D%7C3000%7C%7C%7C&amp;sdata=vCiuqnQraswMIkigCyDkIw1DyRuWEp1Bg4F9uCMDCSI%3D&amp;reserved=0" xr:uid="{9FC1A851-12A0-4DDD-A836-B812CE723AC2}"/>
    <hyperlink ref="C56" r:id="rId3" display="https://eur01.safelinks.protection.outlook.com/?url=https%3A%2F%2Fiea.blob.core.windows.net%2Fassets%2Fdeebef5d-0c34-4539-9d0c-10b13d840027%2FNetZeroby2050-ARoadmapfortheGlobalEnergySector_CORR.pdf&amp;data=05%7C01%7Cvon.chua%40e4tech.com%7C6c43196d55c247d8ecda08da220ab27e%7Cf2fe6bd39c4a485bae69e18820a88130%7C0%7C0%7C637859726588645422%7CUnknown%7CTWFpbGZsb3d8eyJWIjoiMC4wLjAwMDAiLCJQIjoiV2luMzIiLCJBTiI6Ik1haWwiLCJXVCI6Mn0%3D%7C3000%7C%7C%7C&amp;sdata=rpG8wo6ixFZnPOqx8GTUyk7%2BxgrmPnJFOmN9oPewMQs%3D&amp;reserved=0" xr:uid="{FDE91EE5-32FD-45E1-A964-A767B58A1364}"/>
    <hyperlink ref="B20" r:id="rId4" xr:uid="{23E409EE-AB3D-4183-900C-CBD2650E5FAF}"/>
    <hyperlink ref="C49" r:id="rId5" xr:uid="{AAB3F1DA-BA2E-436A-86A3-C4807075174D}"/>
    <hyperlink ref="C45" r:id="rId6" xr:uid="{CF3B6213-A62A-4F5C-AA09-A0806E0135CB}"/>
    <hyperlink ref="C44" r:id="rId7" xr:uid="{DDD76624-81C1-4B12-BBFD-A55A48012C92}"/>
    <hyperlink ref="C30" r:id="rId8" xr:uid="{CC30524A-404D-44B1-B12B-EFCA40BD07B8}"/>
    <hyperlink ref="C29" r:id="rId9" xr:uid="{8E47874F-75FD-4DAC-B9AA-14113F67FF3D}"/>
    <hyperlink ref="C51" r:id="rId10" xr:uid="{902A11EB-EB3C-4775-8FD9-99687ECB412E}"/>
    <hyperlink ref="C55" r:id="rId11" xr:uid="{02116EC2-CC3D-4493-81FA-CB928C6D7F4C}"/>
    <hyperlink ref="C36" r:id="rId12" xr:uid="{36AB4C64-03B2-4833-AB8E-65997256A0F6}"/>
    <hyperlink ref="C40" r:id="rId13" xr:uid="{F13AB89F-1314-41EF-B6F5-13D1E810067E}"/>
    <hyperlink ref="C41" r:id="rId14" xr:uid="{E4CFEA3D-6BCD-41A1-BF57-06788D107258}"/>
    <hyperlink ref="C38" r:id="rId15" xr:uid="{828AC014-BE73-4338-B404-147D5EC1DB11}"/>
    <hyperlink ref="C39" r:id="rId16" xr:uid="{951C1DEE-81C2-47E1-B74C-75A952DE961B}"/>
    <hyperlink ref="C28" r:id="rId17" xr:uid="{99EBC38E-DABD-4EBE-9975-93E3317F6D25}"/>
  </hyperlinks>
  <pageMargins left="0.7" right="0.7" top="0.75" bottom="0.75" header="0.3" footer="0.3"/>
  <pageSetup orientation="portrait" r:id="rId18"/>
  <extLst>
    <ext xmlns:x14="http://schemas.microsoft.com/office/spreadsheetml/2009/9/main" uri="{78C0D931-6437-407d-A8EE-F0AAD7539E65}">
      <x14:conditionalFormattings>
        <x14:conditionalFormatting xmlns:xm="http://schemas.microsoft.com/office/excel/2006/main">
          <x14:cfRule type="expression" priority="4" id="{E343C74A-A7AE-4BF4-A82A-59C5469607BA}">
            <xm:f>F$15=Guidance!$D$17</xm:f>
            <x14:dxf>
              <fill>
                <patternFill>
                  <bgColor rgb="FFFFC000"/>
                </patternFill>
              </fill>
            </x14:dxf>
          </x14:cfRule>
          <xm:sqref>F17:AF17 F15:AF15 F4:T8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L30"/>
  <sheetViews>
    <sheetView showGridLines="0" zoomScaleNormal="100" workbookViewId="0"/>
  </sheetViews>
  <sheetFormatPr defaultRowHeight="14.4"/>
  <cols>
    <col min="1" max="1" width="6.6640625" customWidth="1"/>
    <col min="2" max="2" width="31.33203125" customWidth="1"/>
    <col min="3" max="3" width="12.44140625" style="1" customWidth="1"/>
    <col min="4" max="4" width="17.88671875" customWidth="1"/>
    <col min="5" max="5" width="21.21875" customWidth="1"/>
    <col min="6" max="6" width="25.88671875" customWidth="1"/>
    <col min="7" max="7" width="21.21875" style="1" customWidth="1"/>
    <col min="8" max="9" width="17.5546875" customWidth="1"/>
    <col min="10" max="10" width="20.33203125" customWidth="1"/>
    <col min="11" max="11" width="3.88671875" customWidth="1"/>
    <col min="12" max="18" width="10.6640625" customWidth="1"/>
  </cols>
  <sheetData>
    <row r="1" spans="1:12" s="1" customFormat="1"/>
    <row r="2" spans="1:12" ht="60">
      <c r="B2" s="59" t="s">
        <v>379</v>
      </c>
      <c r="C2" s="59" t="s">
        <v>380</v>
      </c>
      <c r="D2" s="59" t="s">
        <v>385</v>
      </c>
      <c r="E2" s="59" t="s">
        <v>384</v>
      </c>
      <c r="F2" s="59" t="s">
        <v>383</v>
      </c>
      <c r="G2" s="59" t="s">
        <v>382</v>
      </c>
      <c r="H2" s="59" t="s">
        <v>165</v>
      </c>
      <c r="I2" s="59" t="s">
        <v>166</v>
      </c>
      <c r="J2" s="59" t="s">
        <v>381</v>
      </c>
      <c r="K2" s="1"/>
    </row>
    <row r="3" spans="1:12" s="1" customFormat="1">
      <c r="B3" s="57" t="str">
        <f>IF(Guidance!D20="RCF", "RCF feedstock counterfactual", "Not used")</f>
        <v>Not used</v>
      </c>
      <c r="C3" s="57" t="str">
        <f>IF(Guidance!$D$20="RCF","Yes", "No")</f>
        <v>No</v>
      </c>
      <c r="D3" s="191" t="s">
        <v>181</v>
      </c>
      <c r="E3" s="83" t="s">
        <v>181</v>
      </c>
      <c r="F3" s="95" t="s">
        <v>181</v>
      </c>
      <c r="G3" s="95" t="str">
        <f>IF(Guidance!D20="RCF",'RCF counterfactual'!C17, "NA")</f>
        <v>NA</v>
      </c>
      <c r="H3" s="96" t="s">
        <v>181</v>
      </c>
      <c r="I3" s="96" t="str">
        <f>IF(Guidance!D20="RCF",I4,"NA")</f>
        <v>NA</v>
      </c>
      <c r="J3" s="85" t="str">
        <f>IF(C3="No", "", G3*I3)</f>
        <v/>
      </c>
    </row>
    <row r="4" spans="1:12">
      <c r="B4" s="57" t="s">
        <v>12</v>
      </c>
      <c r="C4" s="57"/>
      <c r="D4" s="96" t="str">
        <f>IF(C4="No", 100%, 'Feedstock collection'!N17)</f>
        <v/>
      </c>
      <c r="E4" s="83" t="e">
        <f>E5/D5</f>
        <v>#VALUE!</v>
      </c>
      <c r="F4" s="95">
        <f>IF(C4="No", 0, 'Feedstock collection'!S35)</f>
        <v>0</v>
      </c>
      <c r="G4" s="95" t="e">
        <f t="shared" ref="G4:G7" si="0">F4*E4</f>
        <v>#VALUE!</v>
      </c>
      <c r="H4" s="96" t="str">
        <f>IF(C4="No", 100%,'Feedstock collection'!O17)</f>
        <v/>
      </c>
      <c r="I4" s="96" t="e">
        <f t="shared" ref="I4:I7" si="1">I5*H4</f>
        <v>#VALUE!</v>
      </c>
      <c r="J4" s="85" t="e">
        <f>IF(C4="No", "", G4*I4)</f>
        <v>#VALUE!</v>
      </c>
      <c r="K4" s="1"/>
    </row>
    <row r="5" spans="1:12">
      <c r="B5" s="57" t="s">
        <v>13</v>
      </c>
      <c r="C5" s="57"/>
      <c r="D5" s="96" t="str">
        <f>IF(C5="No", 100%, 'Feedstock transport'!N17)</f>
        <v/>
      </c>
      <c r="E5" s="83" t="e">
        <f t="shared" ref="E5:E7" si="2">E6/D6</f>
        <v>#VALUE!</v>
      </c>
      <c r="F5" s="95">
        <f>IF(C5="No", 0, 'Feedstock transport'!S35)</f>
        <v>0</v>
      </c>
      <c r="G5" s="95" t="e">
        <f t="shared" si="0"/>
        <v>#VALUE!</v>
      </c>
      <c r="H5" s="96" t="str">
        <f>IF(C5="No", 100%,'Feedstock transport'!O17)</f>
        <v/>
      </c>
      <c r="I5" s="96" t="e">
        <f t="shared" si="1"/>
        <v>#VALUE!</v>
      </c>
      <c r="J5" s="85" t="e">
        <f t="shared" ref="J5:J14" si="3">IF(C5="No", "", G5*I5)</f>
        <v>#VALUE!</v>
      </c>
      <c r="K5" s="1"/>
    </row>
    <row r="6" spans="1:12">
      <c r="B6" s="57" t="s">
        <v>14</v>
      </c>
      <c r="C6" s="57"/>
      <c r="D6" s="96" t="str">
        <f>IF(C6="No", 100%, 'Pre-processing'!N17)</f>
        <v/>
      </c>
      <c r="E6" s="83" t="e">
        <f t="shared" si="2"/>
        <v>#VALUE!</v>
      </c>
      <c r="F6" s="95">
        <f>IF(C6="No", 0, 'Pre-processing'!S35)</f>
        <v>0</v>
      </c>
      <c r="G6" s="95" t="e">
        <f t="shared" si="0"/>
        <v>#VALUE!</v>
      </c>
      <c r="H6" s="96" t="str">
        <f>IF(C6="No", 100%,'Pre-processing'!O17)</f>
        <v/>
      </c>
      <c r="I6" s="96" t="e">
        <f t="shared" si="1"/>
        <v>#VALUE!</v>
      </c>
      <c r="J6" s="85" t="e">
        <f t="shared" si="3"/>
        <v>#VALUE!</v>
      </c>
      <c r="K6" s="1"/>
    </row>
    <row r="7" spans="1:12">
      <c r="B7" s="57" t="s">
        <v>15</v>
      </c>
      <c r="C7" s="57"/>
      <c r="D7" s="96" t="str">
        <f>IF(C7="No", 100%, 'Intermediate transport'!N17)</f>
        <v/>
      </c>
      <c r="E7" s="83" t="e">
        <f t="shared" si="2"/>
        <v>#VALUE!</v>
      </c>
      <c r="F7" s="95">
        <f>IF(C7="No", 0, 'Intermediate transport'!S35)</f>
        <v>0</v>
      </c>
      <c r="G7" s="95" t="e">
        <f t="shared" si="0"/>
        <v>#VALUE!</v>
      </c>
      <c r="H7" s="96" t="str">
        <f>IF(C7="No", 100%,'Intermediate transport'!O17)</f>
        <v/>
      </c>
      <c r="I7" s="96" t="e">
        <f t="shared" si="1"/>
        <v>#VALUE!</v>
      </c>
      <c r="J7" s="85" t="e">
        <f t="shared" si="3"/>
        <v>#VALUE!</v>
      </c>
      <c r="K7" s="1"/>
    </row>
    <row r="8" spans="1:12">
      <c r="B8" s="57" t="s">
        <v>16</v>
      </c>
      <c r="C8" s="57" t="s">
        <v>178</v>
      </c>
      <c r="D8" s="96" t="str">
        <f>IF(C8="No", 100%, Conversion!N17)</f>
        <v/>
      </c>
      <c r="E8" s="83" t="e">
        <f t="shared" ref="E8:E13" si="4">E9/D9</f>
        <v>#VALUE!</v>
      </c>
      <c r="F8" s="95">
        <f>IF(C8="No", 0, Conversion!S35)</f>
        <v>0</v>
      </c>
      <c r="G8" s="95" t="e">
        <f>F8*E8</f>
        <v>#VALUE!</v>
      </c>
      <c r="H8" s="96" t="str">
        <f>IF(C8="No", 100%,Conversion!O17)</f>
        <v/>
      </c>
      <c r="I8" s="96" t="e">
        <f t="shared" ref="I8:I13" si="5">I9*H8</f>
        <v>#VALUE!</v>
      </c>
      <c r="J8" s="85" t="e">
        <f t="shared" si="3"/>
        <v>#VALUE!</v>
      </c>
      <c r="K8" s="1"/>
    </row>
    <row r="9" spans="1:12">
      <c r="B9" s="57" t="s">
        <v>17</v>
      </c>
      <c r="C9" s="57"/>
      <c r="D9" s="96" t="str">
        <f>IF(C9="No", 100%, 'Further transport'!N17)</f>
        <v/>
      </c>
      <c r="E9" s="83" t="e">
        <f t="shared" si="4"/>
        <v>#VALUE!</v>
      </c>
      <c r="F9" s="95">
        <f>IF(C9="No", 0, 'Further transport'!S35)</f>
        <v>0</v>
      </c>
      <c r="G9" s="95" t="e">
        <f t="shared" ref="G9:G14" si="6">F9*E9</f>
        <v>#VALUE!</v>
      </c>
      <c r="H9" s="96" t="str">
        <f>IF(C9="No", 100%,'Further transport'!O17)</f>
        <v/>
      </c>
      <c r="I9" s="96" t="e">
        <f t="shared" si="5"/>
        <v>#VALUE!</v>
      </c>
      <c r="J9" s="85" t="e">
        <f t="shared" si="3"/>
        <v>#VALUE!</v>
      </c>
      <c r="K9" s="1"/>
    </row>
    <row r="10" spans="1:12">
      <c r="B10" s="57" t="s">
        <v>18</v>
      </c>
      <c r="C10" s="57"/>
      <c r="D10" s="96" t="str">
        <f>IF(C10="No", 100%, Upgrading!N17)</f>
        <v/>
      </c>
      <c r="E10" s="83" t="e">
        <f t="shared" si="4"/>
        <v>#VALUE!</v>
      </c>
      <c r="F10" s="95">
        <f>IF(C10="No", 0, Upgrading!S35)</f>
        <v>0</v>
      </c>
      <c r="G10" s="95" t="e">
        <f t="shared" si="6"/>
        <v>#VALUE!</v>
      </c>
      <c r="H10" s="96" t="str">
        <f>IF(C10="No", 100%,Upgrading!O17)</f>
        <v/>
      </c>
      <c r="I10" s="96" t="e">
        <f t="shared" si="5"/>
        <v>#VALUE!</v>
      </c>
      <c r="J10" s="85" t="e">
        <f t="shared" si="3"/>
        <v>#VALUE!</v>
      </c>
      <c r="K10" s="1"/>
    </row>
    <row r="11" spans="1:12">
      <c r="B11" s="57" t="s">
        <v>19</v>
      </c>
      <c r="C11" s="57"/>
      <c r="D11" s="96" t="str">
        <f>IF(C11="No", 100%, 'Fuel distribution 1'!N17)</f>
        <v/>
      </c>
      <c r="E11" s="83" t="e">
        <f t="shared" si="4"/>
        <v>#VALUE!</v>
      </c>
      <c r="F11" s="95">
        <f>IF(C11="No", 0, 'Fuel distribution 1'!S35)</f>
        <v>0</v>
      </c>
      <c r="G11" s="95" t="e">
        <f t="shared" si="6"/>
        <v>#VALUE!</v>
      </c>
      <c r="H11" s="96" t="str">
        <f>IF(C11="No", 100%,'Fuel distribution 1'!O17)</f>
        <v/>
      </c>
      <c r="I11" s="96" t="e">
        <f t="shared" si="5"/>
        <v>#VALUE!</v>
      </c>
      <c r="J11" s="85" t="e">
        <f t="shared" si="3"/>
        <v>#VALUE!</v>
      </c>
      <c r="K11" s="1"/>
    </row>
    <row r="12" spans="1:12">
      <c r="B12" s="57" t="s">
        <v>20</v>
      </c>
      <c r="C12" s="57"/>
      <c r="D12" s="96" t="str">
        <f>IF(C12="No", 100%, 'Fuel storage'!N17)</f>
        <v/>
      </c>
      <c r="E12" s="83" t="e">
        <f t="shared" si="4"/>
        <v>#VALUE!</v>
      </c>
      <c r="F12" s="95">
        <f>IF(C12="No", 0, 'Fuel storage'!S35)</f>
        <v>0</v>
      </c>
      <c r="G12" s="95" t="e">
        <f t="shared" si="6"/>
        <v>#VALUE!</v>
      </c>
      <c r="H12" s="96" t="str">
        <f>IF(C12="No", 100%,'Fuel storage'!O17)</f>
        <v/>
      </c>
      <c r="I12" s="96" t="e">
        <f t="shared" si="5"/>
        <v>#VALUE!</v>
      </c>
      <c r="J12" s="85" t="e">
        <f t="shared" si="3"/>
        <v>#VALUE!</v>
      </c>
      <c r="K12" s="1"/>
    </row>
    <row r="13" spans="1:12">
      <c r="B13" s="57" t="s">
        <v>21</v>
      </c>
      <c r="C13" s="57"/>
      <c r="D13" s="96" t="str">
        <f>IF(C13="No", 100%, 'Fuel distribution 2'!N17)</f>
        <v/>
      </c>
      <c r="E13" s="83" t="e">
        <f t="shared" si="4"/>
        <v>#VALUE!</v>
      </c>
      <c r="F13" s="95">
        <f>IF(C13="No", 0, 'Fuel distribution 2'!S35)</f>
        <v>0</v>
      </c>
      <c r="G13" s="95" t="e">
        <f t="shared" si="6"/>
        <v>#VALUE!</v>
      </c>
      <c r="H13" s="96" t="str">
        <f>IF(C13="No", 100%,'Fuel distribution 2'!O17)</f>
        <v/>
      </c>
      <c r="I13" s="96" t="e">
        <f t="shared" si="5"/>
        <v>#VALUE!</v>
      </c>
      <c r="J13" s="85" t="e">
        <f t="shared" si="3"/>
        <v>#VALUE!</v>
      </c>
      <c r="K13" s="1"/>
    </row>
    <row r="14" spans="1:12" ht="15" thickBot="1">
      <c r="B14" s="68" t="s">
        <v>232</v>
      </c>
      <c r="C14" s="68" t="s">
        <v>178</v>
      </c>
      <c r="D14" s="96" t="str">
        <f>IF(C14="No", 100%, Refuelling!N17)</f>
        <v/>
      </c>
      <c r="E14" s="83">
        <v>1</v>
      </c>
      <c r="F14" s="95">
        <f>IF(C14="No", 0, Refuelling!S35)</f>
        <v>0</v>
      </c>
      <c r="G14" s="95">
        <f t="shared" si="6"/>
        <v>0</v>
      </c>
      <c r="H14" s="96" t="str">
        <f>IF(C14="No", 100%,Refuelling!O17)</f>
        <v/>
      </c>
      <c r="I14" s="96" t="str">
        <f>H14</f>
        <v/>
      </c>
      <c r="J14" s="85" t="e">
        <f t="shared" si="3"/>
        <v>#VALUE!</v>
      </c>
      <c r="K14" s="1"/>
    </row>
    <row r="15" spans="1:12" ht="15" thickBot="1">
      <c r="B15" s="94" t="s">
        <v>167</v>
      </c>
      <c r="D15" s="40">
        <f>PRODUCT(D4:D14)</f>
        <v>0</v>
      </c>
      <c r="E15" s="33"/>
      <c r="F15" s="33"/>
      <c r="G15" s="33"/>
      <c r="H15" s="1"/>
      <c r="I15" s="1"/>
      <c r="J15" s="102" t="e">
        <f>SUM(J3:J14)</f>
        <v>#VALUE!</v>
      </c>
    </row>
    <row r="16" spans="1:12" ht="15.6">
      <c r="A16" s="84"/>
      <c r="B16" s="94" t="s">
        <v>242</v>
      </c>
      <c r="C16" s="190"/>
      <c r="J16" s="101">
        <f>IF(Guidance!D20&lt;&gt;"RCF", 31, INDEX(Assumptions!$F$8:$T$8, 1, MATCH(Guidance!$D$17, Assumptions!$F$4:$T$4, FALSE)))</f>
        <v>31</v>
      </c>
      <c r="L16" s="1" t="s">
        <v>289</v>
      </c>
    </row>
    <row r="17" spans="1:11">
      <c r="A17" s="84"/>
      <c r="B17" s="1"/>
      <c r="D17" s="1"/>
      <c r="E17" s="1"/>
      <c r="F17" s="1"/>
      <c r="H17" s="1"/>
      <c r="I17" s="1"/>
      <c r="J17" s="1"/>
      <c r="K17" s="1"/>
    </row>
    <row r="18" spans="1:11" s="1" customFormat="1">
      <c r="B18" s="1" t="s">
        <v>369</v>
      </c>
    </row>
    <row r="19" spans="1:11">
      <c r="H19" s="1"/>
      <c r="I19" s="1"/>
      <c r="J19" s="1"/>
      <c r="K19" s="1"/>
    </row>
    <row r="20" spans="1:11" s="1" customFormat="1"/>
    <row r="21" spans="1:11" s="1" customFormat="1"/>
    <row r="22" spans="1:11" s="1" customFormat="1"/>
    <row r="23" spans="1:11" s="1" customFormat="1"/>
    <row r="24" spans="1:11" s="1" customFormat="1"/>
    <row r="25" spans="1:11" s="1" customFormat="1"/>
    <row r="30" spans="1:11">
      <c r="B30" s="1"/>
      <c r="D30" s="1"/>
      <c r="E30" s="1"/>
      <c r="F30" s="1"/>
      <c r="H30" s="1"/>
      <c r="I30" s="1"/>
      <c r="J30" s="1"/>
      <c r="K30" s="1"/>
    </row>
  </sheetData>
  <conditionalFormatting sqref="J16">
    <cfRule type="expression" dxfId="0" priority="1">
      <formula>$J$15&gt;$J$16</formula>
    </cfRule>
  </conditionalFormatting>
  <dataValidations count="1">
    <dataValidation type="list" allowBlank="1" showInputMessage="1" showErrorMessage="1" sqref="C4:C14" xr:uid="{DF28A3BA-9BB5-43DD-8C99-E8178B964A9C}">
      <formula1>"Yes, 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2:S33"/>
  <sheetViews>
    <sheetView showGridLines="0" zoomScaleNormal="100" workbookViewId="0"/>
  </sheetViews>
  <sheetFormatPr defaultColWidth="9.21875" defaultRowHeight="14.4"/>
  <cols>
    <col min="1" max="1" width="6.6640625" style="2" customWidth="1"/>
    <col min="2" max="16384" width="9.21875" style="2"/>
  </cols>
  <sheetData>
    <row r="2" spans="2:19">
      <c r="B2" s="176" t="s">
        <v>231</v>
      </c>
    </row>
    <row r="4" spans="2:19">
      <c r="B4" s="99"/>
      <c r="C4" s="99"/>
      <c r="D4" s="99"/>
      <c r="E4" s="99"/>
      <c r="F4" s="99"/>
      <c r="G4" s="99"/>
      <c r="H4" s="99"/>
      <c r="I4" s="99"/>
      <c r="J4" s="99"/>
      <c r="K4" s="99"/>
      <c r="L4" s="99"/>
      <c r="M4" s="99"/>
      <c r="N4" s="99"/>
      <c r="O4" s="99"/>
      <c r="P4" s="99"/>
      <c r="Q4" s="99"/>
      <c r="R4" s="99"/>
      <c r="S4" s="99"/>
    </row>
    <row r="5" spans="2:19">
      <c r="B5" s="99"/>
      <c r="C5" s="99"/>
      <c r="D5" s="99"/>
      <c r="E5" s="99"/>
      <c r="F5" s="99"/>
      <c r="G5" s="99"/>
      <c r="H5" s="99"/>
      <c r="I5" s="99"/>
      <c r="J5" s="99"/>
      <c r="K5" s="99"/>
      <c r="L5" s="99"/>
      <c r="M5" s="99"/>
      <c r="N5" s="99"/>
      <c r="O5" s="99"/>
      <c r="P5" s="99"/>
      <c r="Q5" s="99"/>
      <c r="R5" s="99"/>
      <c r="S5" s="99"/>
    </row>
    <row r="6" spans="2:19">
      <c r="B6" s="99"/>
      <c r="C6" s="99"/>
      <c r="D6" s="99"/>
      <c r="E6" s="99"/>
      <c r="F6" s="99"/>
      <c r="G6" s="99"/>
      <c r="H6" s="99"/>
      <c r="I6" s="99"/>
      <c r="J6" s="99"/>
      <c r="K6" s="99"/>
      <c r="L6" s="99"/>
      <c r="M6" s="99"/>
      <c r="N6" s="99"/>
      <c r="O6" s="99"/>
      <c r="P6" s="99"/>
      <c r="Q6" s="99"/>
      <c r="R6" s="99"/>
      <c r="S6" s="99"/>
    </row>
    <row r="7" spans="2:19">
      <c r="B7" s="99"/>
      <c r="C7" s="99"/>
      <c r="D7" s="99"/>
      <c r="E7" s="99"/>
      <c r="F7" s="99"/>
      <c r="G7" s="99"/>
      <c r="H7" s="99"/>
      <c r="I7" s="99"/>
      <c r="J7" s="99"/>
      <c r="K7" s="99"/>
      <c r="L7" s="99"/>
      <c r="M7" s="99"/>
      <c r="N7" s="99"/>
      <c r="O7" s="99"/>
      <c r="P7" s="99"/>
      <c r="Q7" s="99"/>
      <c r="R7" s="99"/>
      <c r="S7" s="99"/>
    </row>
    <row r="8" spans="2:19">
      <c r="B8" s="99"/>
      <c r="C8" s="99"/>
      <c r="D8" s="99"/>
      <c r="E8" s="99"/>
      <c r="F8" s="99"/>
      <c r="G8" s="99"/>
      <c r="H8" s="99"/>
      <c r="I8" s="99"/>
      <c r="J8" s="99"/>
      <c r="K8" s="99"/>
      <c r="L8" s="99"/>
      <c r="M8" s="99"/>
      <c r="N8" s="99"/>
      <c r="O8" s="99"/>
      <c r="P8" s="99"/>
      <c r="Q8" s="99"/>
      <c r="R8" s="99"/>
      <c r="S8" s="99"/>
    </row>
    <row r="9" spans="2:19">
      <c r="B9" s="99"/>
      <c r="C9" s="99"/>
      <c r="D9" s="99"/>
      <c r="E9" s="99"/>
      <c r="F9" s="99"/>
      <c r="G9" s="99"/>
      <c r="H9" s="99"/>
      <c r="I9" s="99"/>
      <c r="J9" s="99"/>
      <c r="K9" s="99"/>
      <c r="L9" s="99"/>
      <c r="M9" s="99"/>
      <c r="N9" s="99"/>
      <c r="O9" s="99"/>
      <c r="P9" s="99"/>
      <c r="Q9" s="99"/>
      <c r="R9" s="99"/>
      <c r="S9" s="99"/>
    </row>
    <row r="10" spans="2:19">
      <c r="B10" s="99"/>
      <c r="C10" s="99"/>
      <c r="D10" s="99"/>
      <c r="E10" s="99"/>
      <c r="F10" s="99"/>
      <c r="G10" s="99"/>
      <c r="H10" s="99"/>
      <c r="I10" s="99"/>
      <c r="J10" s="99"/>
      <c r="K10" s="99"/>
      <c r="L10" s="99"/>
      <c r="M10" s="99"/>
      <c r="N10" s="99"/>
      <c r="O10" s="99"/>
      <c r="P10" s="99"/>
      <c r="Q10" s="99"/>
      <c r="R10" s="99"/>
      <c r="S10" s="99"/>
    </row>
    <row r="11" spans="2:19">
      <c r="B11" s="99"/>
      <c r="C11" s="99"/>
      <c r="D11" s="99"/>
      <c r="E11" s="99"/>
      <c r="F11" s="99"/>
      <c r="G11" s="99"/>
      <c r="H11" s="99"/>
      <c r="I11" s="99"/>
      <c r="J11" s="99"/>
      <c r="K11" s="99"/>
      <c r="L11" s="99"/>
      <c r="M11" s="99"/>
      <c r="N11" s="99"/>
      <c r="O11" s="99"/>
      <c r="P11" s="99"/>
      <c r="Q11" s="99"/>
      <c r="R11" s="99"/>
      <c r="S11" s="99"/>
    </row>
    <row r="12" spans="2:19">
      <c r="B12" s="99"/>
      <c r="C12" s="99"/>
      <c r="D12" s="99"/>
      <c r="E12" s="99"/>
      <c r="F12" s="99"/>
      <c r="G12" s="99"/>
      <c r="H12" s="99"/>
      <c r="I12" s="99"/>
      <c r="J12" s="99"/>
      <c r="K12" s="99"/>
      <c r="L12" s="99"/>
      <c r="M12" s="99"/>
      <c r="N12" s="99"/>
      <c r="O12" s="99"/>
      <c r="P12" s="99"/>
      <c r="Q12" s="99"/>
      <c r="R12" s="99"/>
      <c r="S12" s="99"/>
    </row>
    <row r="13" spans="2:19">
      <c r="B13" s="99"/>
      <c r="C13" s="99"/>
      <c r="D13" s="99"/>
      <c r="E13" s="99"/>
      <c r="F13" s="99"/>
      <c r="G13" s="99"/>
      <c r="H13" s="99"/>
      <c r="I13" s="99"/>
      <c r="J13" s="99"/>
      <c r="K13" s="99"/>
      <c r="L13" s="99"/>
      <c r="M13" s="99"/>
      <c r="N13" s="99"/>
      <c r="O13" s="99"/>
      <c r="P13" s="99"/>
      <c r="Q13" s="99"/>
      <c r="R13" s="99"/>
      <c r="S13" s="99"/>
    </row>
    <row r="14" spans="2:19">
      <c r="B14" s="99"/>
      <c r="C14" s="99"/>
      <c r="D14" s="99"/>
      <c r="E14" s="99"/>
      <c r="F14" s="99"/>
      <c r="G14" s="99"/>
      <c r="H14" s="99"/>
      <c r="I14" s="99"/>
      <c r="J14" s="99"/>
      <c r="K14" s="99"/>
      <c r="L14" s="99"/>
      <c r="M14" s="99"/>
      <c r="N14" s="99"/>
      <c r="O14" s="99"/>
      <c r="P14" s="99"/>
      <c r="Q14" s="99"/>
      <c r="R14" s="99"/>
      <c r="S14" s="99"/>
    </row>
    <row r="15" spans="2:19">
      <c r="B15" s="99"/>
      <c r="C15" s="99"/>
      <c r="D15" s="99"/>
      <c r="E15" s="99"/>
      <c r="F15" s="99"/>
      <c r="G15" s="99"/>
      <c r="H15" s="99"/>
      <c r="I15" s="99"/>
      <c r="J15" s="99"/>
      <c r="K15" s="99"/>
      <c r="L15" s="99"/>
      <c r="M15" s="99"/>
      <c r="N15" s="99"/>
      <c r="O15" s="99"/>
      <c r="P15" s="99"/>
      <c r="Q15" s="99"/>
      <c r="R15" s="99"/>
      <c r="S15" s="99"/>
    </row>
    <row r="16" spans="2:19">
      <c r="B16" s="99"/>
      <c r="C16" s="99"/>
      <c r="D16" s="99"/>
      <c r="E16" s="99"/>
      <c r="F16" s="99"/>
      <c r="G16" s="99"/>
      <c r="H16" s="99"/>
      <c r="I16" s="99"/>
      <c r="J16" s="99"/>
      <c r="K16" s="99"/>
      <c r="L16" s="99"/>
      <c r="M16" s="99"/>
      <c r="N16" s="99"/>
      <c r="O16" s="99"/>
      <c r="P16" s="99"/>
      <c r="Q16" s="99"/>
      <c r="R16" s="99"/>
      <c r="S16" s="99"/>
    </row>
    <row r="17" spans="2:19">
      <c r="B17" s="99"/>
      <c r="C17" s="99"/>
      <c r="D17" s="99"/>
      <c r="E17" s="99"/>
      <c r="F17" s="99"/>
      <c r="G17" s="99"/>
      <c r="H17" s="99"/>
      <c r="I17" s="99"/>
      <c r="J17" s="99"/>
      <c r="K17" s="99"/>
      <c r="L17" s="99"/>
      <c r="M17" s="99"/>
      <c r="N17" s="99"/>
      <c r="O17" s="99"/>
      <c r="P17" s="99"/>
      <c r="Q17" s="99"/>
      <c r="R17" s="99"/>
      <c r="S17" s="99"/>
    </row>
    <row r="18" spans="2:19">
      <c r="B18" s="99"/>
      <c r="C18" s="99"/>
      <c r="D18" s="99"/>
      <c r="E18" s="99"/>
      <c r="F18" s="99"/>
      <c r="G18" s="99"/>
      <c r="H18" s="99"/>
      <c r="I18" s="99"/>
      <c r="J18" s="99"/>
      <c r="K18" s="99"/>
      <c r="L18" s="99"/>
      <c r="M18" s="99"/>
      <c r="N18" s="99"/>
      <c r="O18" s="99"/>
      <c r="P18" s="99"/>
      <c r="Q18" s="99"/>
      <c r="R18" s="99"/>
      <c r="S18" s="99"/>
    </row>
    <row r="19" spans="2:19">
      <c r="B19" s="99"/>
      <c r="C19" s="99"/>
      <c r="D19" s="99"/>
      <c r="E19" s="99"/>
      <c r="F19" s="99"/>
      <c r="G19" s="99"/>
      <c r="H19" s="99"/>
      <c r="I19" s="99"/>
      <c r="J19" s="99"/>
      <c r="K19" s="99"/>
      <c r="L19" s="99"/>
      <c r="M19" s="99"/>
      <c r="N19" s="99"/>
      <c r="O19" s="99"/>
      <c r="P19" s="99"/>
      <c r="Q19" s="99"/>
      <c r="R19" s="99"/>
      <c r="S19" s="99"/>
    </row>
    <row r="20" spans="2:19">
      <c r="B20" s="99"/>
      <c r="C20" s="99"/>
      <c r="D20" s="99"/>
      <c r="E20" s="99"/>
      <c r="F20" s="99"/>
      <c r="G20" s="99"/>
      <c r="H20" s="99"/>
      <c r="I20" s="99"/>
      <c r="J20" s="99"/>
      <c r="K20" s="99"/>
      <c r="L20" s="99"/>
      <c r="M20" s="99"/>
      <c r="N20" s="99"/>
      <c r="O20" s="99"/>
      <c r="P20" s="99"/>
      <c r="Q20" s="99"/>
      <c r="R20" s="99"/>
      <c r="S20" s="99"/>
    </row>
    <row r="21" spans="2:19">
      <c r="B21" s="99"/>
      <c r="C21" s="99"/>
      <c r="D21" s="99"/>
      <c r="E21" s="99"/>
      <c r="F21" s="99"/>
      <c r="G21" s="99"/>
      <c r="H21" s="99"/>
      <c r="I21" s="99"/>
      <c r="J21" s="99"/>
      <c r="K21" s="99"/>
      <c r="L21" s="99"/>
      <c r="M21" s="99"/>
      <c r="N21" s="99"/>
      <c r="O21" s="99"/>
      <c r="P21" s="99"/>
      <c r="Q21" s="99"/>
      <c r="R21" s="99"/>
      <c r="S21" s="99"/>
    </row>
    <row r="22" spans="2:19">
      <c r="B22" s="99"/>
      <c r="C22" s="99"/>
      <c r="D22" s="99"/>
      <c r="E22" s="99"/>
      <c r="F22" s="99"/>
      <c r="G22" s="99"/>
      <c r="H22" s="99"/>
      <c r="I22" s="99"/>
      <c r="J22" s="99"/>
      <c r="K22" s="99"/>
      <c r="L22" s="99"/>
      <c r="M22" s="99"/>
      <c r="N22" s="99"/>
      <c r="O22" s="99"/>
      <c r="P22" s="99"/>
      <c r="Q22" s="99"/>
      <c r="R22" s="99"/>
      <c r="S22" s="99"/>
    </row>
    <row r="23" spans="2:19">
      <c r="B23" s="99"/>
      <c r="C23" s="99"/>
      <c r="D23" s="99"/>
      <c r="E23" s="99"/>
      <c r="F23" s="99"/>
      <c r="G23" s="99"/>
      <c r="H23" s="99"/>
      <c r="I23" s="99"/>
      <c r="J23" s="99"/>
      <c r="K23" s="99"/>
      <c r="L23" s="99"/>
      <c r="M23" s="99"/>
      <c r="N23" s="99"/>
      <c r="O23" s="99"/>
      <c r="P23" s="99"/>
      <c r="Q23" s="99"/>
      <c r="R23" s="99"/>
      <c r="S23" s="99"/>
    </row>
    <row r="24" spans="2:19">
      <c r="B24" s="99"/>
      <c r="C24" s="99"/>
      <c r="D24" s="99"/>
      <c r="E24" s="99"/>
      <c r="F24" s="99"/>
      <c r="G24" s="99"/>
      <c r="H24" s="99"/>
      <c r="I24" s="99"/>
      <c r="J24" s="99"/>
      <c r="K24" s="99"/>
      <c r="L24" s="99"/>
      <c r="M24" s="99"/>
      <c r="N24" s="99"/>
      <c r="O24" s="99"/>
      <c r="P24" s="99"/>
      <c r="Q24" s="99"/>
      <c r="R24" s="99"/>
      <c r="S24" s="99"/>
    </row>
    <row r="25" spans="2:19">
      <c r="B25" s="99"/>
      <c r="C25" s="99"/>
      <c r="D25" s="99"/>
      <c r="E25" s="99"/>
      <c r="F25" s="99"/>
      <c r="G25" s="99"/>
      <c r="H25" s="99"/>
      <c r="I25" s="99"/>
      <c r="J25" s="99"/>
      <c r="K25" s="99"/>
      <c r="L25" s="99"/>
      <c r="M25" s="99"/>
      <c r="N25" s="99"/>
      <c r="O25" s="99"/>
      <c r="P25" s="99"/>
      <c r="Q25" s="99"/>
      <c r="R25" s="99"/>
      <c r="S25" s="99"/>
    </row>
    <row r="26" spans="2:19">
      <c r="B26" s="99"/>
      <c r="C26" s="99"/>
      <c r="D26" s="99"/>
      <c r="E26" s="99"/>
      <c r="F26" s="99"/>
      <c r="G26" s="99"/>
      <c r="H26" s="99"/>
      <c r="I26" s="99"/>
      <c r="J26" s="99"/>
      <c r="K26" s="99"/>
      <c r="L26" s="99"/>
      <c r="M26" s="99"/>
      <c r="N26" s="99"/>
      <c r="O26" s="99"/>
      <c r="P26" s="99"/>
      <c r="Q26" s="99"/>
      <c r="R26" s="99"/>
      <c r="S26" s="99"/>
    </row>
    <row r="27" spans="2:19">
      <c r="B27" s="99"/>
      <c r="C27" s="99"/>
      <c r="D27" s="99"/>
      <c r="E27" s="99"/>
      <c r="F27" s="99"/>
      <c r="G27" s="99"/>
      <c r="H27" s="99"/>
      <c r="I27" s="99"/>
      <c r="J27" s="99"/>
      <c r="K27" s="99"/>
      <c r="L27" s="99"/>
      <c r="M27" s="99"/>
      <c r="N27" s="99"/>
      <c r="O27" s="99"/>
      <c r="P27" s="99"/>
      <c r="Q27" s="99"/>
      <c r="R27" s="99"/>
      <c r="S27" s="99"/>
    </row>
    <row r="28" spans="2:19">
      <c r="B28" s="99"/>
      <c r="C28" s="99"/>
      <c r="D28" s="99"/>
      <c r="E28" s="99"/>
      <c r="F28" s="99"/>
      <c r="G28" s="99"/>
      <c r="H28" s="99"/>
      <c r="I28" s="99"/>
      <c r="J28" s="99"/>
      <c r="K28" s="99"/>
      <c r="L28" s="99"/>
      <c r="M28" s="99"/>
      <c r="N28" s="99"/>
      <c r="O28" s="99"/>
      <c r="P28" s="99"/>
      <c r="Q28" s="99"/>
      <c r="R28" s="99"/>
      <c r="S28" s="99"/>
    </row>
    <row r="29" spans="2:19">
      <c r="B29" s="99"/>
      <c r="C29" s="99"/>
      <c r="D29" s="99"/>
      <c r="E29" s="99"/>
      <c r="F29" s="99"/>
      <c r="G29" s="99"/>
      <c r="H29" s="99"/>
      <c r="I29" s="99"/>
      <c r="J29" s="99"/>
      <c r="K29" s="99"/>
      <c r="L29" s="99"/>
      <c r="M29" s="99"/>
      <c r="N29" s="99"/>
      <c r="O29" s="99"/>
      <c r="P29" s="99"/>
      <c r="Q29" s="99"/>
      <c r="R29" s="99"/>
      <c r="S29" s="99"/>
    </row>
    <row r="30" spans="2:19">
      <c r="B30" s="99"/>
      <c r="C30" s="99"/>
      <c r="D30" s="99"/>
      <c r="E30" s="99"/>
      <c r="F30" s="99"/>
      <c r="G30" s="99"/>
      <c r="H30" s="99"/>
      <c r="I30" s="99"/>
      <c r="J30" s="99"/>
      <c r="K30" s="99"/>
      <c r="L30" s="99"/>
      <c r="M30" s="99"/>
      <c r="N30" s="99"/>
      <c r="O30" s="99"/>
      <c r="P30" s="99"/>
      <c r="Q30" s="99"/>
      <c r="R30" s="99"/>
      <c r="S30" s="99"/>
    </row>
    <row r="31" spans="2:19">
      <c r="B31" s="99"/>
      <c r="C31" s="99"/>
      <c r="D31" s="99"/>
      <c r="E31" s="99"/>
      <c r="F31" s="99"/>
      <c r="G31" s="99"/>
      <c r="H31" s="99"/>
      <c r="I31" s="99"/>
      <c r="J31" s="99"/>
      <c r="K31" s="99"/>
      <c r="L31" s="99"/>
      <c r="M31" s="99"/>
      <c r="N31" s="99"/>
      <c r="O31" s="99"/>
      <c r="P31" s="99"/>
      <c r="Q31" s="99"/>
      <c r="R31" s="99"/>
      <c r="S31" s="99"/>
    </row>
    <row r="32" spans="2:19">
      <c r="B32" s="99"/>
      <c r="C32" s="99"/>
      <c r="D32" s="99"/>
      <c r="E32" s="99"/>
      <c r="F32" s="99"/>
      <c r="G32" s="99"/>
      <c r="H32" s="99"/>
      <c r="I32" s="99"/>
      <c r="J32" s="99"/>
      <c r="K32" s="99"/>
      <c r="L32" s="99"/>
      <c r="M32" s="99"/>
      <c r="N32" s="99"/>
      <c r="O32" s="99"/>
      <c r="P32" s="99"/>
      <c r="Q32" s="99"/>
      <c r="R32" s="99"/>
      <c r="S32" s="99"/>
    </row>
    <row r="33" spans="2:19">
      <c r="B33" s="99"/>
      <c r="C33" s="99"/>
      <c r="D33" s="99"/>
      <c r="E33" s="99"/>
      <c r="F33" s="99"/>
      <c r="G33" s="99"/>
      <c r="H33" s="99"/>
      <c r="I33" s="99"/>
      <c r="J33" s="99"/>
      <c r="K33" s="99"/>
      <c r="L33" s="99"/>
      <c r="M33" s="99"/>
      <c r="N33" s="99"/>
      <c r="O33" s="99"/>
      <c r="P33" s="99"/>
      <c r="Q33" s="99"/>
      <c r="R33" s="99"/>
      <c r="S33" s="99"/>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8154A-FBD2-452C-B907-19D8DCEAC52E}">
  <sheetPr>
    <tabColor theme="9" tint="0.79998168889431442"/>
  </sheetPr>
  <dimension ref="B2:B36"/>
  <sheetViews>
    <sheetView showGridLines="0" zoomScaleNormal="100" workbookViewId="0"/>
  </sheetViews>
  <sheetFormatPr defaultRowHeight="14.4"/>
  <cols>
    <col min="1" max="1" width="6.6640625" customWidth="1"/>
    <col min="2" max="2" width="39.109375" customWidth="1"/>
  </cols>
  <sheetData>
    <row r="2" spans="2:2" s="1" customFormat="1">
      <c r="B2" s="33" t="s">
        <v>266</v>
      </c>
    </row>
    <row r="3" spans="2:2" s="1" customFormat="1">
      <c r="B3" s="160"/>
    </row>
    <row r="4" spans="2:2" s="1" customFormat="1">
      <c r="B4" s="160"/>
    </row>
    <row r="5" spans="2:2" s="1" customFormat="1"/>
    <row r="6" spans="2:2" s="1" customFormat="1">
      <c r="B6" s="33" t="s">
        <v>267</v>
      </c>
    </row>
    <row r="7" spans="2:2" s="1" customFormat="1">
      <c r="B7" s="161"/>
    </row>
    <row r="8" spans="2:2" s="1" customFormat="1">
      <c r="B8" s="161"/>
    </row>
    <row r="9" spans="2:2" s="1" customFormat="1">
      <c r="B9" s="33"/>
    </row>
    <row r="10" spans="2:2" s="1" customFormat="1">
      <c r="B10" s="33" t="s">
        <v>262</v>
      </c>
    </row>
    <row r="11" spans="2:2" s="1" customFormat="1">
      <c r="B11" s="160"/>
    </row>
    <row r="12" spans="2:2" s="1" customFormat="1">
      <c r="B12" s="160"/>
    </row>
    <row r="13" spans="2:2" s="1" customFormat="1"/>
    <row r="14" spans="2:2" s="1" customFormat="1">
      <c r="B14" s="33" t="s">
        <v>268</v>
      </c>
    </row>
    <row r="15" spans="2:2" s="1" customFormat="1">
      <c r="B15" s="160"/>
    </row>
    <row r="16" spans="2:2" s="1" customFormat="1">
      <c r="B16" s="160"/>
    </row>
    <row r="17" spans="2:2" s="1" customFormat="1"/>
    <row r="18" spans="2:2" s="1" customFormat="1">
      <c r="B18" s="33" t="s">
        <v>265</v>
      </c>
    </row>
    <row r="19" spans="2:2" s="1" customFormat="1">
      <c r="B19" s="160"/>
    </row>
    <row r="20" spans="2:2" s="1" customFormat="1">
      <c r="B20" s="160"/>
    </row>
    <row r="21" spans="2:2" s="1" customFormat="1"/>
    <row r="22" spans="2:2" s="1" customFormat="1">
      <c r="B22" s="33" t="s">
        <v>269</v>
      </c>
    </row>
    <row r="23" spans="2:2" s="1" customFormat="1">
      <c r="B23" s="160"/>
    </row>
    <row r="24" spans="2:2" s="1" customFormat="1">
      <c r="B24" s="160"/>
    </row>
    <row r="25" spans="2:2" s="1" customFormat="1"/>
    <row r="26" spans="2:2">
      <c r="B26" s="33" t="s">
        <v>263</v>
      </c>
    </row>
    <row r="27" spans="2:2">
      <c r="B27" s="160"/>
    </row>
    <row r="28" spans="2:2">
      <c r="B28" s="160"/>
    </row>
    <row r="30" spans="2:2">
      <c r="B30" s="33" t="s">
        <v>264</v>
      </c>
    </row>
    <row r="31" spans="2:2">
      <c r="B31" s="160"/>
    </row>
    <row r="32" spans="2:2">
      <c r="B32" s="160"/>
    </row>
    <row r="34" spans="2:2">
      <c r="B34" s="33" t="s">
        <v>247</v>
      </c>
    </row>
    <row r="35" spans="2:2">
      <c r="B35" s="160"/>
    </row>
    <row r="36" spans="2:2">
      <c r="B36" s="16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7D198-B341-4270-B536-C8E0BD89AFBF}">
  <sheetPr>
    <tabColor theme="9" tint="0.79998168889431442"/>
  </sheetPr>
  <dimension ref="B2:D33"/>
  <sheetViews>
    <sheetView showGridLines="0" zoomScaleNormal="100" workbookViewId="0"/>
  </sheetViews>
  <sheetFormatPr defaultColWidth="8.77734375" defaultRowHeight="14.4"/>
  <cols>
    <col min="1" max="1" width="6.6640625" style="1" customWidth="1"/>
    <col min="2" max="2" width="31.21875" style="1" customWidth="1"/>
    <col min="3" max="10" width="21.21875" style="1" customWidth="1"/>
    <col min="11" max="16384" width="8.77734375" style="1"/>
  </cols>
  <sheetData>
    <row r="2" spans="2:2">
      <c r="B2" s="33" t="s">
        <v>287</v>
      </c>
    </row>
    <row r="3" spans="2:2">
      <c r="B3" s="41" t="s">
        <v>288</v>
      </c>
    </row>
    <row r="4" spans="2:2">
      <c r="B4" s="1" t="s">
        <v>370</v>
      </c>
    </row>
    <row r="5" spans="2:2">
      <c r="B5" s="1" t="s">
        <v>371</v>
      </c>
    </row>
    <row r="7" spans="2:2">
      <c r="B7" s="1" t="s">
        <v>276</v>
      </c>
    </row>
    <row r="8" spans="2:2">
      <c r="B8" s="81" t="s">
        <v>275</v>
      </c>
    </row>
    <row r="9" spans="2:2">
      <c r="B9" s="81" t="s">
        <v>283</v>
      </c>
    </row>
    <row r="10" spans="2:2">
      <c r="B10" s="81"/>
    </row>
    <row r="11" spans="2:2">
      <c r="B11" s="82" t="s">
        <v>284</v>
      </c>
    </row>
    <row r="12" spans="2:2">
      <c r="B12" s="81" t="s">
        <v>278</v>
      </c>
    </row>
    <row r="13" spans="2:2">
      <c r="B13" s="1" t="s">
        <v>239</v>
      </c>
    </row>
    <row r="15" spans="2:2" ht="15.6">
      <c r="B15" s="41" t="s">
        <v>282</v>
      </c>
    </row>
    <row r="17" spans="2:4" ht="15.6">
      <c r="B17" s="1" t="s">
        <v>235</v>
      </c>
      <c r="C17" s="85">
        <f>IF(Guidance!D20="RCF",(C18*C19)/C20,0)</f>
        <v>0</v>
      </c>
      <c r="D17" s="1" t="s">
        <v>279</v>
      </c>
    </row>
    <row r="18" spans="2:4">
      <c r="B18" s="80" t="s">
        <v>236</v>
      </c>
      <c r="C18" s="88" t="str">
        <f>IF(Guidance!D20="RCF",22%, "NA")</f>
        <v>NA</v>
      </c>
      <c r="D18" s="80" t="s">
        <v>296</v>
      </c>
    </row>
    <row r="19" spans="2:4" ht="15.6">
      <c r="B19" s="80" t="s">
        <v>237</v>
      </c>
      <c r="C19" s="89" t="str">
        <f>IF(Guidance!D20="RCF",INDEX(Assumptions!$C$17:$AF$17, 1, MATCH(Guidance!$D$17, Assumptions!$C$15:$AF$15, FALSE)), "NA")</f>
        <v>NA</v>
      </c>
      <c r="D19" s="80" t="s">
        <v>281</v>
      </c>
    </row>
    <row r="20" spans="2:4">
      <c r="B20" s="80" t="s">
        <v>238</v>
      </c>
      <c r="C20" s="88" t="str">
        <f>IF(Guidance!D20="RCF",Summary!D15, "NA")</f>
        <v>NA</v>
      </c>
      <c r="D20" s="80" t="s">
        <v>280</v>
      </c>
    </row>
    <row r="23" spans="2:4">
      <c r="B23" s="33" t="s">
        <v>285</v>
      </c>
    </row>
    <row r="24" spans="2:4">
      <c r="B24" s="160"/>
    </row>
    <row r="25" spans="2:4">
      <c r="B25" s="160"/>
    </row>
    <row r="27" spans="2:4">
      <c r="B27" s="33" t="s">
        <v>286</v>
      </c>
    </row>
    <row r="28" spans="2:4">
      <c r="B28" s="160"/>
    </row>
    <row r="29" spans="2:4">
      <c r="B29" s="160"/>
    </row>
    <row r="31" spans="2:4">
      <c r="B31" s="33" t="s">
        <v>277</v>
      </c>
    </row>
    <row r="32" spans="2:4">
      <c r="B32" s="160"/>
    </row>
    <row r="33" spans="2:2">
      <c r="B33" s="16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B2:V40"/>
  <sheetViews>
    <sheetView showGridLines="0" zoomScaleNormal="100" workbookViewId="0"/>
  </sheetViews>
  <sheetFormatPr defaultColWidth="7.21875" defaultRowHeight="14.4"/>
  <cols>
    <col min="1" max="1" width="5.21875" style="4" customWidth="1"/>
    <col min="2" max="2" width="25" style="4" bestFit="1" customWidth="1"/>
    <col min="3" max="3" width="39" style="4" bestFit="1" customWidth="1"/>
    <col min="4" max="4" width="13.44140625" style="4" customWidth="1"/>
    <col min="5" max="5" width="15.33203125" style="6" customWidth="1"/>
    <col min="6" max="6" width="20.88671875" style="4" customWidth="1"/>
    <col min="7" max="7" width="17" style="4" customWidth="1"/>
    <col min="8" max="8" width="12.77734375" style="5" customWidth="1"/>
    <col min="9" max="9" width="17.44140625" style="5" customWidth="1"/>
    <col min="10" max="11" width="14.21875" style="5" customWidth="1"/>
    <col min="12" max="12" width="14" style="5" customWidth="1"/>
    <col min="13" max="13" width="7.21875" style="1"/>
    <col min="14" max="14" width="18.77734375" style="4" customWidth="1"/>
    <col min="15" max="15" width="17.5546875" style="4" customWidth="1"/>
    <col min="16" max="17" width="20.77734375" style="5" customWidth="1"/>
    <col min="18" max="18" width="16.21875" style="5" customWidth="1"/>
    <col min="19" max="19" width="22.77734375" style="48" customWidth="1"/>
    <col min="20" max="20" width="7.21875" style="4" customWidth="1"/>
    <col min="21" max="21" width="21.33203125" style="4" customWidth="1"/>
    <col min="22" max="22" width="7.21875" style="1"/>
    <col min="23" max="16384" width="7.21875" style="4"/>
  </cols>
  <sheetData>
    <row r="2" spans="2:22" ht="87" thickBot="1">
      <c r="B2" s="3" t="s">
        <v>170</v>
      </c>
      <c r="C2" s="3" t="s">
        <v>171</v>
      </c>
      <c r="D2" s="3" t="s">
        <v>8</v>
      </c>
      <c r="E2" s="8" t="s">
        <v>172</v>
      </c>
      <c r="F2" s="38" t="s">
        <v>297</v>
      </c>
      <c r="G2" s="38" t="s">
        <v>298</v>
      </c>
      <c r="H2" s="38" t="s">
        <v>173</v>
      </c>
      <c r="I2" s="38" t="s">
        <v>299</v>
      </c>
      <c r="J2" s="38" t="s">
        <v>300</v>
      </c>
      <c r="K2" s="38" t="s">
        <v>301</v>
      </c>
      <c r="L2" s="38" t="s">
        <v>302</v>
      </c>
      <c r="M2" s="38"/>
      <c r="N2" s="39" t="s">
        <v>311</v>
      </c>
      <c r="O2" s="39" t="s">
        <v>312</v>
      </c>
      <c r="P2" s="38" t="s">
        <v>313</v>
      </c>
      <c r="Q2" s="38" t="s">
        <v>314</v>
      </c>
      <c r="R2" s="38" t="s">
        <v>174</v>
      </c>
      <c r="S2" s="47" t="s">
        <v>315</v>
      </c>
      <c r="T2" s="47"/>
      <c r="U2" s="38" t="s">
        <v>175</v>
      </c>
    </row>
    <row r="3" spans="2:22" ht="15" thickTop="1"/>
    <row r="4" spans="2:22">
      <c r="B4" s="181" t="s">
        <v>176</v>
      </c>
      <c r="C4" s="177"/>
      <c r="D4" s="177"/>
      <c r="E4" s="178"/>
      <c r="F4" s="177"/>
      <c r="G4" s="179"/>
      <c r="H4" s="180"/>
      <c r="I4" s="180"/>
      <c r="J4" s="180"/>
      <c r="K4" s="180"/>
      <c r="L4" s="180"/>
      <c r="N4" s="11"/>
      <c r="P4" s="14"/>
      <c r="Q4" s="14"/>
      <c r="R4" s="14"/>
      <c r="S4" s="49"/>
      <c r="U4" s="11"/>
      <c r="V4" s="4"/>
    </row>
    <row r="5" spans="2:22" s="11" customFormat="1">
      <c r="B5" s="10" t="s">
        <v>177</v>
      </c>
      <c r="C5" s="183" t="s">
        <v>303</v>
      </c>
      <c r="D5" s="9" t="s">
        <v>309</v>
      </c>
      <c r="E5" s="43"/>
      <c r="F5" s="17"/>
      <c r="G5" s="17"/>
      <c r="H5" s="16"/>
      <c r="I5" s="16" t="s">
        <v>178</v>
      </c>
      <c r="J5" s="42"/>
      <c r="K5" s="16"/>
      <c r="L5" s="54">
        <f>IF($D5="MWh/yr (LHV)",$E5,$J5*$E5/3.6)</f>
        <v>0</v>
      </c>
      <c r="P5" s="42">
        <v>0</v>
      </c>
      <c r="Q5" s="16"/>
      <c r="R5" s="23" t="s">
        <v>326</v>
      </c>
      <c r="S5" s="184" t="str">
        <f>IFERROR(IF(D5="tonnes/yr", $P5*$E5/($L$17*3.6), $Q5*$E5*3.6/($L$17*3.6)), "Unfilled fields on left")</f>
        <v>Unfilled fields on left</v>
      </c>
      <c r="U5" s="23"/>
    </row>
    <row r="6" spans="2:22" s="11" customFormat="1">
      <c r="B6" s="182" t="s">
        <v>179</v>
      </c>
      <c r="C6" s="183" t="s">
        <v>180</v>
      </c>
      <c r="D6" s="9" t="s">
        <v>310</v>
      </c>
      <c r="E6" s="18"/>
      <c r="F6" s="17"/>
      <c r="G6" s="17"/>
      <c r="H6" s="16"/>
      <c r="I6" s="16"/>
      <c r="J6" s="16"/>
      <c r="K6" s="16"/>
      <c r="L6" s="54">
        <f t="shared" ref="L6:L14" si="0">IF($D6="MWh/yr (LHV)",$E6,$J6*$E6/3.6)</f>
        <v>0</v>
      </c>
      <c r="P6" s="42" t="str">
        <f t="shared" ref="P6:P14" si="1">IF(B6="", "", IF(D6="MWh/yr (LHV)", "Use column to right", "Enter data here"))</f>
        <v>Use column to right</v>
      </c>
      <c r="Q6" s="42" t="str">
        <f t="shared" ref="Q6:Q14" si="2">IF(B6="", "", IF(D6="MWh/yr (LHV)", "Enter data here", "Use column to left"))</f>
        <v>Enter data here</v>
      </c>
      <c r="R6" s="23" t="s">
        <v>362</v>
      </c>
      <c r="S6" s="184" t="str">
        <f t="shared" ref="S6:S14" si="3">IFERROR(IF(D6="tonnes/yr", $P6*$E6/($L$17*3.6), $Q6*$E6*3.6/($L$17*3.6)), "Unfilled fields on left")</f>
        <v>Unfilled fields on left</v>
      </c>
      <c r="U6" s="17"/>
    </row>
    <row r="7" spans="2:22">
      <c r="B7" s="182" t="s">
        <v>179</v>
      </c>
      <c r="C7" s="183" t="s">
        <v>187</v>
      </c>
      <c r="D7" s="9" t="s">
        <v>310</v>
      </c>
      <c r="E7" s="18"/>
      <c r="F7" s="17"/>
      <c r="G7" s="17"/>
      <c r="H7" s="16"/>
      <c r="I7" s="16"/>
      <c r="J7" s="16"/>
      <c r="K7" s="16"/>
      <c r="L7" s="54">
        <f t="shared" si="0"/>
        <v>0</v>
      </c>
      <c r="M7" s="11"/>
      <c r="N7" s="11"/>
      <c r="O7" s="11"/>
      <c r="P7" s="42" t="str">
        <f t="shared" si="1"/>
        <v>Use column to right</v>
      </c>
      <c r="Q7" s="42" t="str">
        <f t="shared" si="2"/>
        <v>Enter data here</v>
      </c>
      <c r="R7" s="23" t="s">
        <v>362</v>
      </c>
      <c r="S7" s="184" t="str">
        <f t="shared" si="3"/>
        <v>Unfilled fields on left</v>
      </c>
      <c r="U7" s="17"/>
      <c r="V7" s="4"/>
    </row>
    <row r="8" spans="2:22" s="7" customFormat="1">
      <c r="B8" s="182" t="s">
        <v>179</v>
      </c>
      <c r="C8" s="183" t="s">
        <v>182</v>
      </c>
      <c r="D8" s="9" t="s">
        <v>309</v>
      </c>
      <c r="E8" s="19"/>
      <c r="F8" s="17"/>
      <c r="G8" s="17"/>
      <c r="H8" s="16"/>
      <c r="I8" s="16"/>
      <c r="J8" s="16"/>
      <c r="K8" s="16"/>
      <c r="L8" s="54">
        <f t="shared" si="0"/>
        <v>0</v>
      </c>
      <c r="M8" s="11"/>
      <c r="N8" s="11"/>
      <c r="O8" s="11"/>
      <c r="P8" s="42" t="str">
        <f t="shared" si="1"/>
        <v>Enter data here</v>
      </c>
      <c r="Q8" s="42" t="str">
        <f t="shared" si="2"/>
        <v>Use column to left</v>
      </c>
      <c r="R8" s="23" t="s">
        <v>362</v>
      </c>
      <c r="S8" s="184" t="str">
        <f t="shared" si="3"/>
        <v>Unfilled fields on left</v>
      </c>
      <c r="U8" s="24"/>
    </row>
    <row r="9" spans="2:22" s="7" customFormat="1">
      <c r="B9" s="182" t="s">
        <v>179</v>
      </c>
      <c r="C9" s="183" t="s">
        <v>304</v>
      </c>
      <c r="D9" s="9" t="s">
        <v>309</v>
      </c>
      <c r="E9" s="19"/>
      <c r="F9" s="17"/>
      <c r="G9" s="17"/>
      <c r="H9" s="16"/>
      <c r="I9" s="16"/>
      <c r="J9" s="16"/>
      <c r="K9" s="16"/>
      <c r="L9" s="54">
        <f t="shared" si="0"/>
        <v>0</v>
      </c>
      <c r="M9" s="11"/>
      <c r="N9" s="11"/>
      <c r="O9" s="11"/>
      <c r="P9" s="42" t="str">
        <f t="shared" si="1"/>
        <v>Enter data here</v>
      </c>
      <c r="Q9" s="42" t="str">
        <f t="shared" si="2"/>
        <v>Use column to left</v>
      </c>
      <c r="R9" s="23" t="s">
        <v>362</v>
      </c>
      <c r="S9" s="184" t="str">
        <f t="shared" si="3"/>
        <v>Unfilled fields on left</v>
      </c>
      <c r="U9" s="24"/>
    </row>
    <row r="10" spans="2:22">
      <c r="B10" s="182" t="s">
        <v>191</v>
      </c>
      <c r="C10" s="183" t="s">
        <v>192</v>
      </c>
      <c r="D10" s="9" t="s">
        <v>309</v>
      </c>
      <c r="E10" s="19"/>
      <c r="F10" s="17"/>
      <c r="G10" s="17"/>
      <c r="H10" s="16"/>
      <c r="I10" s="16"/>
      <c r="J10" s="16"/>
      <c r="K10" s="16"/>
      <c r="L10" s="54">
        <f t="shared" si="0"/>
        <v>0</v>
      </c>
      <c r="M10" s="11"/>
      <c r="N10" s="11"/>
      <c r="O10" s="11"/>
      <c r="P10" s="42" t="str">
        <f t="shared" si="1"/>
        <v>Enter data here</v>
      </c>
      <c r="Q10" s="42" t="str">
        <f t="shared" si="2"/>
        <v>Use column to left</v>
      </c>
      <c r="R10" s="23" t="s">
        <v>362</v>
      </c>
      <c r="S10" s="184" t="str">
        <f t="shared" si="3"/>
        <v>Unfilled fields on left</v>
      </c>
      <c r="U10" s="24"/>
      <c r="V10" s="4"/>
    </row>
    <row r="11" spans="2:22">
      <c r="B11" s="182" t="s">
        <v>191</v>
      </c>
      <c r="C11" s="183" t="s">
        <v>305</v>
      </c>
      <c r="D11" s="9" t="s">
        <v>309</v>
      </c>
      <c r="E11" s="19"/>
      <c r="F11" s="17"/>
      <c r="G11" s="17"/>
      <c r="H11" s="16"/>
      <c r="I11" s="16"/>
      <c r="J11" s="16"/>
      <c r="K11" s="16"/>
      <c r="L11" s="54">
        <f t="shared" si="0"/>
        <v>0</v>
      </c>
      <c r="M11" s="11"/>
      <c r="N11" s="11"/>
      <c r="O11" s="11"/>
      <c r="P11" s="42" t="str">
        <f t="shared" si="1"/>
        <v>Enter data here</v>
      </c>
      <c r="Q11" s="42" t="str">
        <f t="shared" si="2"/>
        <v>Use column to left</v>
      </c>
      <c r="R11" s="23" t="s">
        <v>362</v>
      </c>
      <c r="S11" s="184" t="str">
        <f t="shared" si="3"/>
        <v>Unfilled fields on left</v>
      </c>
      <c r="U11" s="24"/>
      <c r="V11" s="4"/>
    </row>
    <row r="12" spans="2:22">
      <c r="B12" s="182" t="s">
        <v>308</v>
      </c>
      <c r="C12" s="183" t="s">
        <v>306</v>
      </c>
      <c r="D12" s="9" t="s">
        <v>309</v>
      </c>
      <c r="E12" s="19"/>
      <c r="F12" s="17"/>
      <c r="G12" s="17"/>
      <c r="H12" s="16"/>
      <c r="I12" s="16"/>
      <c r="J12" s="16"/>
      <c r="K12" s="16"/>
      <c r="L12" s="54">
        <f t="shared" si="0"/>
        <v>0</v>
      </c>
      <c r="M12" s="11"/>
      <c r="N12" s="11"/>
      <c r="O12" s="11"/>
      <c r="P12" s="42" t="str">
        <f t="shared" si="1"/>
        <v>Enter data here</v>
      </c>
      <c r="Q12" s="42" t="str">
        <f t="shared" si="2"/>
        <v>Use column to left</v>
      </c>
      <c r="R12" s="23" t="s">
        <v>362</v>
      </c>
      <c r="S12" s="184" t="str">
        <f t="shared" si="3"/>
        <v>Unfilled fields on left</v>
      </c>
      <c r="U12" s="24"/>
      <c r="V12" s="4"/>
    </row>
    <row r="13" spans="2:22">
      <c r="B13" s="182" t="s">
        <v>308</v>
      </c>
      <c r="C13" s="183" t="s">
        <v>307</v>
      </c>
      <c r="D13" s="9" t="s">
        <v>309</v>
      </c>
      <c r="E13" s="19"/>
      <c r="F13" s="17"/>
      <c r="G13" s="17"/>
      <c r="H13" s="16"/>
      <c r="I13" s="16"/>
      <c r="J13" s="16"/>
      <c r="K13" s="16"/>
      <c r="L13" s="54">
        <f t="shared" si="0"/>
        <v>0</v>
      </c>
      <c r="M13" s="11"/>
      <c r="N13" s="11"/>
      <c r="O13" s="11"/>
      <c r="P13" s="42" t="str">
        <f t="shared" si="1"/>
        <v>Enter data here</v>
      </c>
      <c r="Q13" s="42" t="str">
        <f t="shared" si="2"/>
        <v>Use column to left</v>
      </c>
      <c r="R13" s="23" t="s">
        <v>362</v>
      </c>
      <c r="S13" s="184" t="str">
        <f t="shared" si="3"/>
        <v>Unfilled fields on left</v>
      </c>
      <c r="U13" s="24"/>
      <c r="V13" s="4"/>
    </row>
    <row r="14" spans="2:22">
      <c r="B14" s="9"/>
      <c r="C14" s="10"/>
      <c r="D14" s="9"/>
      <c r="E14" s="19"/>
      <c r="F14" s="17"/>
      <c r="G14" s="17"/>
      <c r="H14" s="16"/>
      <c r="I14" s="16"/>
      <c r="J14" s="16"/>
      <c r="K14" s="16"/>
      <c r="L14" s="54">
        <f t="shared" si="0"/>
        <v>0</v>
      </c>
      <c r="M14" s="11"/>
      <c r="N14" s="11"/>
      <c r="O14" s="11"/>
      <c r="P14" s="42" t="str">
        <f t="shared" si="1"/>
        <v/>
      </c>
      <c r="Q14" s="42" t="str">
        <f t="shared" si="2"/>
        <v/>
      </c>
      <c r="R14" s="23" t="s">
        <v>362</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183</v>
      </c>
      <c r="C16" s="177"/>
      <c r="D16" s="177"/>
      <c r="E16" s="178"/>
      <c r="F16" s="177"/>
      <c r="G16" s="179"/>
      <c r="H16" s="180"/>
      <c r="I16" s="180"/>
      <c r="J16" s="180"/>
      <c r="K16" s="180"/>
      <c r="L16" s="180"/>
      <c r="M16" s="41"/>
      <c r="N16" s="15"/>
      <c r="O16" s="11"/>
      <c r="P16" s="22"/>
      <c r="Q16" s="22"/>
      <c r="R16" s="22"/>
      <c r="S16" s="186"/>
      <c r="U16" s="27"/>
      <c r="V16" s="4"/>
    </row>
    <row r="17" spans="2:22" s="11" customFormat="1">
      <c r="B17" s="10" t="s">
        <v>184</v>
      </c>
      <c r="C17" s="183" t="s">
        <v>316</v>
      </c>
      <c r="D17" s="9" t="s">
        <v>309</v>
      </c>
      <c r="E17" s="44"/>
      <c r="F17" s="17"/>
      <c r="G17" s="17"/>
      <c r="H17" s="17"/>
      <c r="I17" s="17" t="s">
        <v>185</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188</v>
      </c>
      <c r="C18" s="183" t="s">
        <v>317</v>
      </c>
      <c r="D18" s="9" t="s">
        <v>309</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188</v>
      </c>
      <c r="C19" s="183" t="s">
        <v>318</v>
      </c>
      <c r="D19" s="9" t="s">
        <v>309</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186</v>
      </c>
      <c r="C20" s="183" t="s">
        <v>319</v>
      </c>
      <c r="D20" s="9" t="s">
        <v>309</v>
      </c>
      <c r="E20" s="19"/>
      <c r="F20" s="17"/>
      <c r="G20" s="17"/>
      <c r="H20" s="16"/>
      <c r="I20" s="16"/>
      <c r="J20" s="16"/>
      <c r="K20" s="16"/>
      <c r="L20" s="54">
        <f t="shared" si="4"/>
        <v>0</v>
      </c>
      <c r="M20" s="11"/>
      <c r="N20" s="11"/>
      <c r="O20" s="11"/>
      <c r="P20" s="22"/>
      <c r="Q20" s="22"/>
      <c r="R20" s="22"/>
      <c r="S20" s="22"/>
      <c r="U20" s="17"/>
    </row>
    <row r="21" spans="2:22" s="7" customFormat="1">
      <c r="B21" s="182" t="s">
        <v>186</v>
      </c>
      <c r="C21" s="183" t="s">
        <v>355</v>
      </c>
      <c r="D21" s="9" t="s">
        <v>309</v>
      </c>
      <c r="E21" s="19"/>
      <c r="F21" s="17"/>
      <c r="G21" s="17"/>
      <c r="H21" s="16"/>
      <c r="I21" s="16"/>
      <c r="J21" s="16"/>
      <c r="K21" s="16"/>
      <c r="L21" s="54">
        <f t="shared" si="4"/>
        <v>0</v>
      </c>
      <c r="M21" s="11"/>
      <c r="N21" s="11"/>
      <c r="O21" s="11"/>
      <c r="P21" s="22"/>
      <c r="Q21" s="22"/>
      <c r="R21" s="22"/>
      <c r="S21" s="22"/>
      <c r="U21" s="17"/>
    </row>
    <row r="22" spans="2:22" s="7" customFormat="1">
      <c r="B22" s="182" t="s">
        <v>189</v>
      </c>
      <c r="C22" s="183" t="s">
        <v>320</v>
      </c>
      <c r="D22" s="9" t="s">
        <v>309</v>
      </c>
      <c r="E22" s="44"/>
      <c r="F22" s="17"/>
      <c r="G22" s="17"/>
      <c r="H22" s="16"/>
      <c r="I22" s="45"/>
      <c r="J22" s="42"/>
      <c r="K22" s="16"/>
      <c r="L22" s="54">
        <f t="shared" si="4"/>
        <v>0</v>
      </c>
      <c r="M22" s="11"/>
      <c r="N22" s="11"/>
      <c r="O22" s="11"/>
      <c r="P22" s="22"/>
      <c r="Q22" s="22"/>
      <c r="R22" s="22"/>
      <c r="S22" s="22"/>
      <c r="U22" s="17"/>
    </row>
    <row r="23" spans="2:22" s="7" customFormat="1">
      <c r="B23" s="182" t="s">
        <v>189</v>
      </c>
      <c r="C23" s="183" t="s">
        <v>190</v>
      </c>
      <c r="D23" s="9" t="s">
        <v>309</v>
      </c>
      <c r="E23" s="19"/>
      <c r="F23" s="17"/>
      <c r="G23" s="17"/>
      <c r="H23" s="16"/>
      <c r="I23" s="16"/>
      <c r="J23" s="16"/>
      <c r="K23" s="16"/>
      <c r="L23" s="54">
        <f t="shared" si="4"/>
        <v>0</v>
      </c>
      <c r="M23" s="11"/>
      <c r="N23" s="11"/>
      <c r="O23" s="11"/>
      <c r="P23" s="22"/>
      <c r="Q23" s="22"/>
      <c r="R23" s="22"/>
      <c r="S23" s="22"/>
      <c r="U23" s="17"/>
    </row>
    <row r="24" spans="2:22" s="7" customFormat="1">
      <c r="B24" s="182" t="s">
        <v>321</v>
      </c>
      <c r="C24" s="183" t="s">
        <v>322</v>
      </c>
      <c r="D24" s="9" t="s">
        <v>309</v>
      </c>
      <c r="E24" s="19"/>
      <c r="F24" s="17"/>
      <c r="G24" s="17"/>
      <c r="H24" s="16"/>
      <c r="I24" s="16"/>
      <c r="J24" s="16"/>
      <c r="K24" s="16"/>
      <c r="L24" s="54">
        <f t="shared" si="4"/>
        <v>0</v>
      </c>
      <c r="M24" s="11"/>
      <c r="N24" s="11"/>
      <c r="O24" s="11"/>
      <c r="P24" s="23">
        <v>1000</v>
      </c>
      <c r="Q24" s="22"/>
      <c r="R24" s="23" t="s">
        <v>327</v>
      </c>
      <c r="S24" s="184" t="str">
        <f>IFERROR(IF(D24="tonnes/yr", $P24*$E24/($L$17*3.6), $Q24*$E24*3.6/($L$17*3.6)), "Unfilled fields on left")</f>
        <v>Unfilled fields on left</v>
      </c>
      <c r="U24" s="17"/>
    </row>
    <row r="25" spans="2:22" s="7" customFormat="1">
      <c r="B25" s="182" t="s">
        <v>323</v>
      </c>
      <c r="C25" s="183" t="s">
        <v>324</v>
      </c>
      <c r="D25" s="9" t="s">
        <v>309</v>
      </c>
      <c r="E25" s="19"/>
      <c r="F25" s="17"/>
      <c r="G25" s="17"/>
      <c r="H25" s="16"/>
      <c r="I25" s="16"/>
      <c r="J25" s="16"/>
      <c r="K25" s="16"/>
      <c r="L25" s="54">
        <f t="shared" si="4"/>
        <v>0</v>
      </c>
      <c r="M25" s="11"/>
      <c r="N25" s="11"/>
      <c r="O25" s="11"/>
      <c r="P25" s="23">
        <v>28000</v>
      </c>
      <c r="Q25" s="22"/>
      <c r="R25" s="23" t="s">
        <v>328</v>
      </c>
      <c r="S25" s="184" t="str">
        <f>IFERROR(IF(D25="tonnes/yr", $P25*$E25/($L$17*3.6), $Q25*$E25*3.6/($L$17*3.6)), "Unfilled fields on left")</f>
        <v>Unfilled fields on left</v>
      </c>
      <c r="U25" s="17"/>
    </row>
    <row r="26" spans="2:22" s="7" customFormat="1">
      <c r="B26" s="182" t="s">
        <v>323</v>
      </c>
      <c r="C26" s="183" t="s">
        <v>325</v>
      </c>
      <c r="D26" s="9" t="s">
        <v>309</v>
      </c>
      <c r="E26" s="19"/>
      <c r="F26" s="17"/>
      <c r="G26" s="17"/>
      <c r="H26" s="16"/>
      <c r="I26" s="16"/>
      <c r="J26" s="16"/>
      <c r="K26" s="16"/>
      <c r="L26" s="54">
        <f t="shared" si="4"/>
        <v>0</v>
      </c>
      <c r="M26" s="11"/>
      <c r="N26" s="11"/>
      <c r="O26" s="11"/>
      <c r="P26" s="23">
        <v>265000</v>
      </c>
      <c r="Q26" s="22"/>
      <c r="R26" s="23" t="s">
        <v>328</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168</v>
      </c>
      <c r="S35" s="187">
        <f>SUM(S4:S34)</f>
        <v>0</v>
      </c>
      <c r="V35" s="4"/>
    </row>
    <row r="36" spans="2:22">
      <c r="B36" s="181" t="s">
        <v>329</v>
      </c>
      <c r="C36" s="177"/>
      <c r="D36" s="177"/>
      <c r="E36" s="177"/>
      <c r="M36" s="4"/>
      <c r="V36" s="4"/>
    </row>
    <row r="37" spans="2:22">
      <c r="B37" s="10" t="s">
        <v>330</v>
      </c>
      <c r="C37" s="9" t="s">
        <v>331</v>
      </c>
      <c r="D37" s="9" t="s">
        <v>169</v>
      </c>
      <c r="E37" s="10"/>
    </row>
    <row r="38" spans="2:22">
      <c r="B38" s="10"/>
      <c r="C38" s="10"/>
      <c r="D38" s="10"/>
      <c r="E38" s="10"/>
    </row>
    <row r="39" spans="2:22">
      <c r="B39" s="10"/>
      <c r="C39" s="10"/>
      <c r="D39" s="10"/>
      <c r="E39" s="10"/>
    </row>
    <row r="40" spans="2:22">
      <c r="B40" s="10"/>
      <c r="C40" s="10"/>
      <c r="D40" s="10"/>
      <c r="E40" s="10"/>
    </row>
  </sheetData>
  <dataValidations count="1">
    <dataValidation type="list" allowBlank="1" showInputMessage="1" showErrorMessage="1" sqref="D17:D33 D5:D14" xr:uid="{07BE9699-9C62-498A-AE4D-FA9BBD3DD09F}">
      <formula1>"tonnes/yr, MWh/yr (LHV)"</formula1>
    </dataValidation>
  </dataValidations>
  <pageMargins left="0.70000000000000007" right="0.70000000000000007" top="0.75" bottom="0.75" header="0.30000000000000004" footer="0.3000000000000000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9" tint="0.79998168889431442"/>
  </sheetPr>
  <dimension ref="B2:V40"/>
  <sheetViews>
    <sheetView showGridLines="0" zoomScaleNormal="100" workbookViewId="0"/>
  </sheetViews>
  <sheetFormatPr defaultColWidth="7.21875" defaultRowHeight="14.4"/>
  <cols>
    <col min="1" max="1" width="5.21875" style="4" customWidth="1"/>
    <col min="2" max="2" width="25" style="4" bestFit="1" customWidth="1"/>
    <col min="3" max="3" width="39" style="4" bestFit="1" customWidth="1"/>
    <col min="4" max="4" width="13.44140625" style="4" customWidth="1"/>
    <col min="5" max="5" width="15.33203125" style="6" customWidth="1"/>
    <col min="6" max="6" width="20.88671875" style="4" customWidth="1"/>
    <col min="7" max="7" width="17" style="4" customWidth="1"/>
    <col min="8" max="8" width="12.77734375" style="5" customWidth="1"/>
    <col min="9" max="9" width="17.44140625" style="5" customWidth="1"/>
    <col min="10" max="11" width="14.21875" style="5" customWidth="1"/>
    <col min="12" max="12" width="14" style="5" customWidth="1"/>
    <col min="13" max="13" width="7.21875" style="1"/>
    <col min="14" max="14" width="18.77734375" style="4" customWidth="1"/>
    <col min="15" max="15" width="17.5546875" style="4" customWidth="1"/>
    <col min="16" max="17" width="20.77734375" style="5" customWidth="1"/>
    <col min="18" max="18" width="16.21875" style="5" customWidth="1"/>
    <col min="19" max="19" width="20.21875" style="48" customWidth="1"/>
    <col min="20" max="20" width="7.21875" style="4" customWidth="1"/>
    <col min="21" max="21" width="21.33203125" style="4" customWidth="1"/>
    <col min="22" max="22" width="7.21875" style="1"/>
    <col min="23" max="16384" width="7.21875" style="4"/>
  </cols>
  <sheetData>
    <row r="2" spans="2:22" ht="87" thickBot="1">
      <c r="B2" s="3" t="s">
        <v>170</v>
      </c>
      <c r="C2" s="3" t="s">
        <v>171</v>
      </c>
      <c r="D2" s="3" t="s">
        <v>8</v>
      </c>
      <c r="E2" s="8" t="s">
        <v>172</v>
      </c>
      <c r="F2" s="38" t="s">
        <v>297</v>
      </c>
      <c r="G2" s="38" t="s">
        <v>298</v>
      </c>
      <c r="H2" s="38" t="s">
        <v>173</v>
      </c>
      <c r="I2" s="38" t="s">
        <v>299</v>
      </c>
      <c r="J2" s="38" t="s">
        <v>300</v>
      </c>
      <c r="K2" s="38" t="s">
        <v>301</v>
      </c>
      <c r="L2" s="38" t="s">
        <v>302</v>
      </c>
      <c r="M2" s="38"/>
      <c r="N2" s="39" t="s">
        <v>311</v>
      </c>
      <c r="O2" s="39" t="s">
        <v>312</v>
      </c>
      <c r="P2" s="38" t="s">
        <v>313</v>
      </c>
      <c r="Q2" s="38" t="s">
        <v>314</v>
      </c>
      <c r="R2" s="38" t="s">
        <v>174</v>
      </c>
      <c r="S2" s="47" t="s">
        <v>315</v>
      </c>
      <c r="T2" s="47"/>
      <c r="U2" s="38" t="s">
        <v>175</v>
      </c>
    </row>
    <row r="3" spans="2:22" ht="15" thickTop="1"/>
    <row r="4" spans="2:22">
      <c r="B4" s="181" t="s">
        <v>176</v>
      </c>
      <c r="C4" s="177"/>
      <c r="D4" s="177"/>
      <c r="E4" s="178"/>
      <c r="F4" s="177"/>
      <c r="G4" s="179"/>
      <c r="H4" s="180"/>
      <c r="I4" s="180"/>
      <c r="J4" s="180"/>
      <c r="K4" s="180"/>
      <c r="L4" s="180"/>
      <c r="N4" s="11"/>
      <c r="P4" s="14"/>
      <c r="Q4" s="14"/>
      <c r="R4" s="14"/>
      <c r="S4" s="49"/>
      <c r="U4" s="11"/>
      <c r="V4" s="4"/>
    </row>
    <row r="5" spans="2:22" s="11" customFormat="1">
      <c r="B5" s="10" t="s">
        <v>177</v>
      </c>
      <c r="C5" s="183" t="s">
        <v>303</v>
      </c>
      <c r="D5" s="9" t="s">
        <v>309</v>
      </c>
      <c r="E5" s="43"/>
      <c r="F5" s="17"/>
      <c r="G5" s="17"/>
      <c r="H5" s="16"/>
      <c r="I5" s="16" t="s">
        <v>185</v>
      </c>
      <c r="J5" s="42"/>
      <c r="K5" s="16"/>
      <c r="L5" s="54">
        <f>IF($D5="MWh/yr (LHV)",$E5,$J5*$E5/3.6)</f>
        <v>0</v>
      </c>
      <c r="P5" s="42" t="str">
        <f t="shared" ref="P5:P14" si="0">IF(B5="", "", IF(D5="MWh/yr (LHV)", "Use column to right", "Enter data here"))</f>
        <v>Enter data here</v>
      </c>
      <c r="Q5" s="42" t="str">
        <f t="shared" ref="Q5:Q14" si="1">IF(B5="", "", IF(D5="MWh/yr (LHV)", "Enter data here", "Use column to left"))</f>
        <v>Use column to left</v>
      </c>
      <c r="R5" s="23" t="s">
        <v>362</v>
      </c>
      <c r="S5" s="184" t="str">
        <f>IFERROR(IF(D5="tonnes/yr", $P5*$E5/($L$17*3.6), $Q5*$E5*3.6/($L$17*3.6)), "Unfilled fields on left")</f>
        <v>Unfilled fields on left</v>
      </c>
      <c r="U5" s="23"/>
    </row>
    <row r="6" spans="2:22" s="11" customFormat="1">
      <c r="B6" s="182" t="s">
        <v>179</v>
      </c>
      <c r="C6" s="183" t="s">
        <v>180</v>
      </c>
      <c r="D6" s="9" t="s">
        <v>310</v>
      </c>
      <c r="E6" s="18"/>
      <c r="F6" s="17"/>
      <c r="G6" s="17"/>
      <c r="H6" s="16"/>
      <c r="I6" s="16"/>
      <c r="J6" s="16"/>
      <c r="K6" s="16"/>
      <c r="L6" s="54">
        <f t="shared" ref="L6:L14" si="2">IF($D6="MWh/yr (LHV)",$E6,$J6*$E6/3.6)</f>
        <v>0</v>
      </c>
      <c r="P6" s="42" t="str">
        <f t="shared" si="0"/>
        <v>Use column to right</v>
      </c>
      <c r="Q6" s="42" t="str">
        <f t="shared" si="1"/>
        <v>Enter data here</v>
      </c>
      <c r="R6" s="23" t="s">
        <v>362</v>
      </c>
      <c r="S6" s="184" t="str">
        <f t="shared" ref="S6:S14" si="3">IFERROR(IF(D6="tonnes/yr", $P6*$E6/($L$17*3.6), $Q6*$E6*3.6/($L$17*3.6)), "Unfilled fields on left")</f>
        <v>Unfilled fields on left</v>
      </c>
      <c r="U6" s="17"/>
    </row>
    <row r="7" spans="2:22">
      <c r="B7" s="182" t="s">
        <v>179</v>
      </c>
      <c r="C7" s="183" t="s">
        <v>187</v>
      </c>
      <c r="D7" s="9" t="s">
        <v>310</v>
      </c>
      <c r="E7" s="18"/>
      <c r="F7" s="17"/>
      <c r="G7" s="17"/>
      <c r="H7" s="16"/>
      <c r="I7" s="16"/>
      <c r="J7" s="16"/>
      <c r="K7" s="16"/>
      <c r="L7" s="54">
        <f t="shared" si="2"/>
        <v>0</v>
      </c>
      <c r="M7" s="11"/>
      <c r="N7" s="11"/>
      <c r="O7" s="11"/>
      <c r="P7" s="42" t="str">
        <f t="shared" si="0"/>
        <v>Use column to right</v>
      </c>
      <c r="Q7" s="42" t="str">
        <f t="shared" si="1"/>
        <v>Enter data here</v>
      </c>
      <c r="R7" s="23" t="s">
        <v>362</v>
      </c>
      <c r="S7" s="184" t="str">
        <f t="shared" si="3"/>
        <v>Unfilled fields on left</v>
      </c>
      <c r="U7" s="17"/>
      <c r="V7" s="4"/>
    </row>
    <row r="8" spans="2:22" s="7" customFormat="1">
      <c r="B8" s="182" t="s">
        <v>179</v>
      </c>
      <c r="C8" s="183" t="s">
        <v>182</v>
      </c>
      <c r="D8" s="9" t="s">
        <v>309</v>
      </c>
      <c r="E8" s="19"/>
      <c r="F8" s="17"/>
      <c r="G8" s="17"/>
      <c r="H8" s="16"/>
      <c r="I8" s="16"/>
      <c r="J8" s="16"/>
      <c r="K8" s="16"/>
      <c r="L8" s="54">
        <f t="shared" si="2"/>
        <v>0</v>
      </c>
      <c r="M8" s="11"/>
      <c r="N8" s="11"/>
      <c r="O8" s="11"/>
      <c r="P8" s="42" t="str">
        <f t="shared" si="0"/>
        <v>Enter data here</v>
      </c>
      <c r="Q8" s="42" t="str">
        <f t="shared" si="1"/>
        <v>Use column to left</v>
      </c>
      <c r="R8" s="23" t="s">
        <v>362</v>
      </c>
      <c r="S8" s="184" t="str">
        <f t="shared" si="3"/>
        <v>Unfilled fields on left</v>
      </c>
      <c r="U8" s="24"/>
    </row>
    <row r="9" spans="2:22" s="7" customFormat="1">
      <c r="B9" s="182" t="s">
        <v>179</v>
      </c>
      <c r="C9" s="183" t="s">
        <v>304</v>
      </c>
      <c r="D9" s="9" t="s">
        <v>309</v>
      </c>
      <c r="E9" s="19"/>
      <c r="F9" s="17"/>
      <c r="G9" s="17"/>
      <c r="H9" s="16"/>
      <c r="I9" s="16"/>
      <c r="J9" s="16"/>
      <c r="K9" s="16"/>
      <c r="L9" s="54">
        <f t="shared" si="2"/>
        <v>0</v>
      </c>
      <c r="M9" s="11"/>
      <c r="N9" s="11"/>
      <c r="O9" s="11"/>
      <c r="P9" s="42" t="str">
        <f t="shared" si="0"/>
        <v>Enter data here</v>
      </c>
      <c r="Q9" s="42" t="str">
        <f t="shared" si="1"/>
        <v>Use column to left</v>
      </c>
      <c r="R9" s="23" t="s">
        <v>362</v>
      </c>
      <c r="S9" s="184" t="str">
        <f t="shared" si="3"/>
        <v>Unfilled fields on left</v>
      </c>
      <c r="U9" s="24"/>
    </row>
    <row r="10" spans="2:22">
      <c r="B10" s="182" t="s">
        <v>191</v>
      </c>
      <c r="C10" s="183" t="s">
        <v>192</v>
      </c>
      <c r="D10" s="9" t="s">
        <v>309</v>
      </c>
      <c r="E10" s="19"/>
      <c r="F10" s="17"/>
      <c r="G10" s="17"/>
      <c r="H10" s="16"/>
      <c r="I10" s="16"/>
      <c r="J10" s="16"/>
      <c r="K10" s="16"/>
      <c r="L10" s="54">
        <f t="shared" si="2"/>
        <v>0</v>
      </c>
      <c r="M10" s="11"/>
      <c r="N10" s="11"/>
      <c r="O10" s="11"/>
      <c r="P10" s="42" t="str">
        <f t="shared" si="0"/>
        <v>Enter data here</v>
      </c>
      <c r="Q10" s="42" t="str">
        <f t="shared" si="1"/>
        <v>Use column to left</v>
      </c>
      <c r="R10" s="23" t="s">
        <v>362</v>
      </c>
      <c r="S10" s="184" t="str">
        <f t="shared" si="3"/>
        <v>Unfilled fields on left</v>
      </c>
      <c r="U10" s="24"/>
      <c r="V10" s="4"/>
    </row>
    <row r="11" spans="2:22">
      <c r="B11" s="182" t="s">
        <v>191</v>
      </c>
      <c r="C11" s="183" t="s">
        <v>305</v>
      </c>
      <c r="D11" s="9" t="s">
        <v>309</v>
      </c>
      <c r="E11" s="19"/>
      <c r="F11" s="17"/>
      <c r="G11" s="17"/>
      <c r="H11" s="16"/>
      <c r="I11" s="16"/>
      <c r="J11" s="16"/>
      <c r="K11" s="16"/>
      <c r="L11" s="54">
        <f t="shared" si="2"/>
        <v>0</v>
      </c>
      <c r="M11" s="11"/>
      <c r="N11" s="11"/>
      <c r="O11" s="11"/>
      <c r="P11" s="42" t="str">
        <f t="shared" si="0"/>
        <v>Enter data here</v>
      </c>
      <c r="Q11" s="42" t="str">
        <f t="shared" si="1"/>
        <v>Use column to left</v>
      </c>
      <c r="R11" s="23" t="s">
        <v>362</v>
      </c>
      <c r="S11" s="184" t="str">
        <f t="shared" si="3"/>
        <v>Unfilled fields on left</v>
      </c>
      <c r="U11" s="24"/>
      <c r="V11" s="4"/>
    </row>
    <row r="12" spans="2:22">
      <c r="B12" s="182" t="s">
        <v>308</v>
      </c>
      <c r="C12" s="183" t="s">
        <v>306</v>
      </c>
      <c r="D12" s="9" t="s">
        <v>309</v>
      </c>
      <c r="E12" s="19"/>
      <c r="F12" s="17"/>
      <c r="G12" s="17"/>
      <c r="H12" s="16"/>
      <c r="I12" s="16"/>
      <c r="J12" s="16"/>
      <c r="K12" s="16"/>
      <c r="L12" s="54">
        <f t="shared" si="2"/>
        <v>0</v>
      </c>
      <c r="M12" s="11"/>
      <c r="N12" s="11"/>
      <c r="O12" s="11"/>
      <c r="P12" s="42" t="str">
        <f t="shared" si="0"/>
        <v>Enter data here</v>
      </c>
      <c r="Q12" s="42" t="str">
        <f t="shared" si="1"/>
        <v>Use column to left</v>
      </c>
      <c r="R12" s="23" t="s">
        <v>362</v>
      </c>
      <c r="S12" s="184" t="str">
        <f t="shared" si="3"/>
        <v>Unfilled fields on left</v>
      </c>
      <c r="U12" s="24"/>
      <c r="V12" s="4"/>
    </row>
    <row r="13" spans="2:22">
      <c r="B13" s="182" t="s">
        <v>308</v>
      </c>
      <c r="C13" s="183" t="s">
        <v>307</v>
      </c>
      <c r="D13" s="9" t="s">
        <v>309</v>
      </c>
      <c r="E13" s="19"/>
      <c r="F13" s="17"/>
      <c r="G13" s="17"/>
      <c r="H13" s="16"/>
      <c r="I13" s="16"/>
      <c r="J13" s="16"/>
      <c r="K13" s="16"/>
      <c r="L13" s="54">
        <f t="shared" si="2"/>
        <v>0</v>
      </c>
      <c r="M13" s="11"/>
      <c r="N13" s="11"/>
      <c r="O13" s="11"/>
      <c r="P13" s="42" t="str">
        <f t="shared" si="0"/>
        <v>Enter data here</v>
      </c>
      <c r="Q13" s="42" t="str">
        <f t="shared" si="1"/>
        <v>Use column to left</v>
      </c>
      <c r="R13" s="23" t="s">
        <v>362</v>
      </c>
      <c r="S13" s="184" t="str">
        <f t="shared" si="3"/>
        <v>Unfilled fields on left</v>
      </c>
      <c r="U13" s="24"/>
      <c r="V13" s="4"/>
    </row>
    <row r="14" spans="2:22">
      <c r="B14" s="9"/>
      <c r="C14" s="10"/>
      <c r="D14" s="9"/>
      <c r="E14" s="19"/>
      <c r="F14" s="17"/>
      <c r="G14" s="17"/>
      <c r="H14" s="16"/>
      <c r="I14" s="16"/>
      <c r="J14" s="16"/>
      <c r="K14" s="16"/>
      <c r="L14" s="54">
        <f t="shared" si="2"/>
        <v>0</v>
      </c>
      <c r="M14" s="11"/>
      <c r="N14" s="11"/>
      <c r="O14" s="11"/>
      <c r="P14" s="42" t="str">
        <f t="shared" si="0"/>
        <v/>
      </c>
      <c r="Q14" s="42" t="str">
        <f t="shared" si="1"/>
        <v/>
      </c>
      <c r="R14" s="23" t="s">
        <v>362</v>
      </c>
      <c r="S14" s="184" t="str">
        <f t="shared" si="3"/>
        <v>Unfilled fields on left</v>
      </c>
      <c r="U14" s="24"/>
      <c r="V14" s="4"/>
    </row>
    <row r="15" spans="2:22">
      <c r="C15" s="12"/>
      <c r="D15" s="12"/>
      <c r="E15" s="20"/>
      <c r="F15" s="25"/>
      <c r="G15" s="26"/>
      <c r="H15" s="21"/>
      <c r="I15" s="21"/>
      <c r="J15" s="21"/>
      <c r="K15" s="21"/>
      <c r="L15" s="21"/>
      <c r="M15" s="41"/>
      <c r="N15" s="11"/>
      <c r="O15" s="11"/>
      <c r="P15" s="21"/>
      <c r="Q15" s="21"/>
      <c r="R15" s="21"/>
      <c r="S15" s="185"/>
      <c r="U15" s="26"/>
      <c r="V15" s="4"/>
    </row>
    <row r="16" spans="2:22">
      <c r="B16" s="181" t="s">
        <v>183</v>
      </c>
      <c r="C16" s="177"/>
      <c r="D16" s="177"/>
      <c r="E16" s="178"/>
      <c r="F16" s="177"/>
      <c r="G16" s="179"/>
      <c r="H16" s="180"/>
      <c r="I16" s="180"/>
      <c r="J16" s="180"/>
      <c r="K16" s="180"/>
      <c r="L16" s="180"/>
      <c r="M16" s="41"/>
      <c r="N16" s="15"/>
      <c r="O16" s="11"/>
      <c r="P16" s="22"/>
      <c r="Q16" s="22"/>
      <c r="R16" s="22"/>
      <c r="S16" s="186"/>
      <c r="U16" s="27"/>
      <c r="V16" s="4"/>
    </row>
    <row r="17" spans="2:22" s="11" customFormat="1">
      <c r="B17" s="10" t="s">
        <v>184</v>
      </c>
      <c r="C17" s="183" t="s">
        <v>316</v>
      </c>
      <c r="D17" s="9" t="s">
        <v>309</v>
      </c>
      <c r="E17" s="44"/>
      <c r="F17" s="17"/>
      <c r="G17" s="17"/>
      <c r="H17" s="17"/>
      <c r="I17" s="17" t="s">
        <v>185</v>
      </c>
      <c r="J17" s="23"/>
      <c r="K17" s="17"/>
      <c r="L17" s="54">
        <f t="shared" ref="L17:L33" si="4">IF($D17="MWh/yr (LHV)",$E17,$J17*$E17/3.6)</f>
        <v>0</v>
      </c>
      <c r="N17" s="55" t="str">
        <f>IFERROR(L17/L5,"")</f>
        <v/>
      </c>
      <c r="O17" s="56" t="str">
        <f>IFERROR(L17/(SUM($L$17:$L$19)),"")</f>
        <v/>
      </c>
      <c r="P17" s="22"/>
      <c r="Q17" s="22"/>
      <c r="R17" s="22"/>
      <c r="S17" s="186"/>
      <c r="U17" s="17"/>
    </row>
    <row r="18" spans="2:22" s="7" customFormat="1">
      <c r="B18" s="182" t="s">
        <v>188</v>
      </c>
      <c r="C18" s="183" t="s">
        <v>317</v>
      </c>
      <c r="D18" s="9" t="s">
        <v>309</v>
      </c>
      <c r="E18" s="44"/>
      <c r="F18" s="17"/>
      <c r="G18" s="17"/>
      <c r="H18" s="16"/>
      <c r="I18" s="16"/>
      <c r="J18" s="16"/>
      <c r="K18" s="16"/>
      <c r="L18" s="54">
        <f t="shared" si="4"/>
        <v>0</v>
      </c>
      <c r="M18" s="11"/>
      <c r="N18" s="11"/>
      <c r="O18" s="56" t="str">
        <f>IFERROR(L18/(SUM($L$17:$L$19)),"")</f>
        <v/>
      </c>
      <c r="P18" s="22"/>
      <c r="Q18" s="22"/>
      <c r="R18" s="22"/>
      <c r="S18" s="186"/>
      <c r="U18" s="17"/>
    </row>
    <row r="19" spans="2:22" s="7" customFormat="1">
      <c r="B19" s="182" t="s">
        <v>188</v>
      </c>
      <c r="C19" s="183" t="s">
        <v>318</v>
      </c>
      <c r="D19" s="9" t="s">
        <v>309</v>
      </c>
      <c r="E19" s="19"/>
      <c r="F19" s="17"/>
      <c r="G19" s="17"/>
      <c r="H19" s="16"/>
      <c r="I19" s="16"/>
      <c r="J19" s="16"/>
      <c r="K19" s="16"/>
      <c r="L19" s="54">
        <f t="shared" si="4"/>
        <v>0</v>
      </c>
      <c r="M19" s="11"/>
      <c r="N19" s="11"/>
      <c r="O19" s="56" t="str">
        <f>IFERROR(L19/(SUM($L$17:$L$19)),"")</f>
        <v/>
      </c>
      <c r="P19" s="22"/>
      <c r="Q19" s="22"/>
      <c r="R19" s="22"/>
      <c r="S19" s="186"/>
      <c r="U19" s="17"/>
    </row>
    <row r="20" spans="2:22" s="7" customFormat="1">
      <c r="B20" s="182" t="s">
        <v>186</v>
      </c>
      <c r="C20" s="183" t="s">
        <v>319</v>
      </c>
      <c r="D20" s="9" t="s">
        <v>309</v>
      </c>
      <c r="E20" s="19"/>
      <c r="F20" s="17"/>
      <c r="G20" s="17"/>
      <c r="H20" s="16"/>
      <c r="I20" s="16"/>
      <c r="J20" s="16"/>
      <c r="K20" s="16"/>
      <c r="L20" s="54">
        <f t="shared" si="4"/>
        <v>0</v>
      </c>
      <c r="M20" s="11"/>
      <c r="N20" s="11"/>
      <c r="O20" s="11"/>
      <c r="P20" s="22"/>
      <c r="Q20" s="22"/>
      <c r="R20" s="22"/>
      <c r="S20" s="22"/>
      <c r="U20" s="17"/>
    </row>
    <row r="21" spans="2:22" s="7" customFormat="1">
      <c r="B21" s="182" t="s">
        <v>186</v>
      </c>
      <c r="C21" s="183" t="s">
        <v>355</v>
      </c>
      <c r="D21" s="9" t="s">
        <v>309</v>
      </c>
      <c r="E21" s="19"/>
      <c r="F21" s="17"/>
      <c r="G21" s="17"/>
      <c r="H21" s="16"/>
      <c r="I21" s="16"/>
      <c r="J21" s="16"/>
      <c r="K21" s="16"/>
      <c r="L21" s="54">
        <f t="shared" si="4"/>
        <v>0</v>
      </c>
      <c r="M21" s="11"/>
      <c r="N21" s="11"/>
      <c r="O21" s="11"/>
      <c r="P21" s="22"/>
      <c r="Q21" s="22"/>
      <c r="R21" s="22"/>
      <c r="S21" s="22"/>
      <c r="U21" s="17"/>
    </row>
    <row r="22" spans="2:22" s="7" customFormat="1">
      <c r="B22" s="182" t="s">
        <v>189</v>
      </c>
      <c r="C22" s="183" t="s">
        <v>320</v>
      </c>
      <c r="D22" s="9" t="s">
        <v>309</v>
      </c>
      <c r="E22" s="44"/>
      <c r="F22" s="17"/>
      <c r="G22" s="17"/>
      <c r="H22" s="16"/>
      <c r="I22" s="45"/>
      <c r="J22" s="42"/>
      <c r="K22" s="16"/>
      <c r="L22" s="54">
        <f t="shared" si="4"/>
        <v>0</v>
      </c>
      <c r="M22" s="11"/>
      <c r="N22" s="11"/>
      <c r="O22" s="11"/>
      <c r="P22" s="22"/>
      <c r="Q22" s="22"/>
      <c r="R22" s="22"/>
      <c r="S22" s="22"/>
      <c r="U22" s="17"/>
    </row>
    <row r="23" spans="2:22" s="7" customFormat="1">
      <c r="B23" s="182" t="s">
        <v>189</v>
      </c>
      <c r="C23" s="183" t="s">
        <v>190</v>
      </c>
      <c r="D23" s="9" t="s">
        <v>309</v>
      </c>
      <c r="E23" s="19"/>
      <c r="F23" s="17"/>
      <c r="G23" s="17"/>
      <c r="H23" s="16"/>
      <c r="I23" s="16"/>
      <c r="J23" s="16"/>
      <c r="K23" s="16"/>
      <c r="L23" s="54">
        <f t="shared" si="4"/>
        <v>0</v>
      </c>
      <c r="M23" s="11"/>
      <c r="N23" s="11"/>
      <c r="O23" s="11"/>
      <c r="P23" s="22"/>
      <c r="Q23" s="22"/>
      <c r="R23" s="22"/>
      <c r="S23" s="22"/>
      <c r="U23" s="17"/>
    </row>
    <row r="24" spans="2:22" s="7" customFormat="1">
      <c r="B24" s="182" t="s">
        <v>321</v>
      </c>
      <c r="C24" s="183" t="s">
        <v>322</v>
      </c>
      <c r="D24" s="9" t="s">
        <v>309</v>
      </c>
      <c r="E24" s="19"/>
      <c r="F24" s="17"/>
      <c r="G24" s="17"/>
      <c r="H24" s="16"/>
      <c r="I24" s="16"/>
      <c r="J24" s="16"/>
      <c r="K24" s="16"/>
      <c r="L24" s="54">
        <f t="shared" si="4"/>
        <v>0</v>
      </c>
      <c r="M24" s="11"/>
      <c r="N24" s="11"/>
      <c r="O24" s="11"/>
      <c r="P24" s="23">
        <v>1000</v>
      </c>
      <c r="Q24" s="22"/>
      <c r="R24" s="23" t="s">
        <v>327</v>
      </c>
      <c r="S24" s="184" t="str">
        <f>IFERROR(IF(D24="tonnes/yr", $P24*$E24/($L$17*3.6), $Q24*$E24*3.6/($L$17*3.6)), "Unfilled fields on left")</f>
        <v>Unfilled fields on left</v>
      </c>
      <c r="U24" s="17"/>
    </row>
    <row r="25" spans="2:22" s="7" customFormat="1">
      <c r="B25" s="182" t="s">
        <v>323</v>
      </c>
      <c r="C25" s="183" t="s">
        <v>324</v>
      </c>
      <c r="D25" s="9" t="s">
        <v>309</v>
      </c>
      <c r="E25" s="19"/>
      <c r="F25" s="17"/>
      <c r="G25" s="17"/>
      <c r="H25" s="16"/>
      <c r="I25" s="16"/>
      <c r="J25" s="16"/>
      <c r="K25" s="16"/>
      <c r="L25" s="54">
        <f t="shared" si="4"/>
        <v>0</v>
      </c>
      <c r="M25" s="11"/>
      <c r="N25" s="11"/>
      <c r="O25" s="11"/>
      <c r="P25" s="23">
        <v>28000</v>
      </c>
      <c r="Q25" s="22"/>
      <c r="R25" s="23" t="s">
        <v>328</v>
      </c>
      <c r="S25" s="184" t="str">
        <f>IFERROR(IF(D25="tonnes/yr", $P25*$E25/($L$17*3.6), $Q25*$E25*3.6/($L$17*3.6)), "Unfilled fields on left")</f>
        <v>Unfilled fields on left</v>
      </c>
      <c r="U25" s="17"/>
    </row>
    <row r="26" spans="2:22" s="7" customFormat="1">
      <c r="B26" s="182" t="s">
        <v>323</v>
      </c>
      <c r="C26" s="183" t="s">
        <v>325</v>
      </c>
      <c r="D26" s="9" t="s">
        <v>309</v>
      </c>
      <c r="E26" s="19"/>
      <c r="F26" s="17"/>
      <c r="G26" s="17"/>
      <c r="H26" s="16"/>
      <c r="I26" s="16"/>
      <c r="J26" s="16"/>
      <c r="K26" s="16"/>
      <c r="L26" s="54">
        <f t="shared" si="4"/>
        <v>0</v>
      </c>
      <c r="M26" s="11"/>
      <c r="N26" s="11"/>
      <c r="O26" s="11"/>
      <c r="P26" s="23">
        <v>265000</v>
      </c>
      <c r="Q26" s="22"/>
      <c r="R26" s="23" t="s">
        <v>328</v>
      </c>
      <c r="S26" s="184" t="str">
        <f>IFERROR(IF(D26="tonnes/yr", $P26*$E26/($L$17*3.6), $Q26*$E26*3.6/($L$17*3.6)), "Unfilled fields on left")</f>
        <v>Unfilled fields on left</v>
      </c>
      <c r="U26" s="17"/>
    </row>
    <row r="27" spans="2:22" s="7" customFormat="1">
      <c r="B27" s="10"/>
      <c r="C27" s="9"/>
      <c r="D27" s="9"/>
      <c r="E27" s="19"/>
      <c r="F27" s="17"/>
      <c r="G27" s="17"/>
      <c r="H27" s="16"/>
      <c r="I27" s="16"/>
      <c r="J27" s="16"/>
      <c r="K27" s="16"/>
      <c r="L27" s="54">
        <f t="shared" si="4"/>
        <v>0</v>
      </c>
      <c r="M27" s="11"/>
      <c r="N27" s="11"/>
      <c r="O27" s="11"/>
      <c r="P27" s="23"/>
      <c r="Q27" s="22"/>
      <c r="R27" s="23"/>
      <c r="S27" s="184" t="str">
        <f>IFERROR(IF(D27="tonnes/yr", $P27*$E27/($L$17*3.6), $Q27*$E27*3.6/($L$17*3.6)), "Unfilled fields on left")</f>
        <v>Unfilled fields on left</v>
      </c>
      <c r="U27" s="17"/>
    </row>
    <row r="28" spans="2:22" s="7" customFormat="1">
      <c r="B28" s="10"/>
      <c r="C28" s="9"/>
      <c r="D28" s="9"/>
      <c r="E28" s="19"/>
      <c r="F28" s="17"/>
      <c r="G28" s="17"/>
      <c r="H28" s="16"/>
      <c r="I28" s="16"/>
      <c r="J28" s="16"/>
      <c r="K28" s="16"/>
      <c r="L28" s="54">
        <f t="shared" si="4"/>
        <v>0</v>
      </c>
      <c r="M28" s="11"/>
      <c r="N28" s="11"/>
      <c r="O28" s="11"/>
      <c r="P28" s="23"/>
      <c r="Q28" s="22"/>
      <c r="R28" s="23"/>
      <c r="S28" s="184" t="str">
        <f>IFERROR(IF(D28="tonnes/yr", $P28*$E28/($L$17*3.6), $Q28*$E28*3.6/($L$17*3.6)), "Unfilled fields on left")</f>
        <v>Unfilled fields on left</v>
      </c>
      <c r="U28" s="17"/>
    </row>
    <row r="29" spans="2:22">
      <c r="B29" s="10"/>
      <c r="C29" s="9"/>
      <c r="D29" s="9"/>
      <c r="E29" s="19"/>
      <c r="F29" s="17"/>
      <c r="G29" s="17"/>
      <c r="H29" s="16"/>
      <c r="I29" s="16"/>
      <c r="J29" s="16"/>
      <c r="K29" s="16"/>
      <c r="L29" s="54">
        <f t="shared" si="4"/>
        <v>0</v>
      </c>
      <c r="M29" s="11"/>
      <c r="N29" s="11"/>
      <c r="O29" s="11"/>
      <c r="P29" s="23"/>
      <c r="Q29" s="22"/>
      <c r="R29" s="23"/>
      <c r="S29" s="184" t="str">
        <f t="shared" ref="S29:S33" si="5">IFERROR(IF(D29="tonnes/yr", $P29*$E29/($L$17*3.6), $Q29*$E29*3.6/($L$17*3.6)), "Unfilled fields on left")</f>
        <v>Unfilled fields on left</v>
      </c>
      <c r="T29" s="7"/>
      <c r="U29" s="17"/>
      <c r="V29" s="4"/>
    </row>
    <row r="30" spans="2:22">
      <c r="B30" s="10"/>
      <c r="C30" s="9"/>
      <c r="D30" s="9"/>
      <c r="E30" s="19"/>
      <c r="F30" s="17"/>
      <c r="G30" s="17"/>
      <c r="H30" s="16"/>
      <c r="I30" s="16"/>
      <c r="J30" s="16"/>
      <c r="K30" s="16"/>
      <c r="L30" s="54">
        <f t="shared" si="4"/>
        <v>0</v>
      </c>
      <c r="M30" s="11"/>
      <c r="N30" s="11"/>
      <c r="O30" s="11"/>
      <c r="P30" s="23"/>
      <c r="Q30" s="22"/>
      <c r="R30" s="23"/>
      <c r="S30" s="184" t="str">
        <f t="shared" si="5"/>
        <v>Unfilled fields on left</v>
      </c>
      <c r="T30" s="7"/>
      <c r="U30" s="17"/>
      <c r="V30" s="4"/>
    </row>
    <row r="31" spans="2:22">
      <c r="B31" s="10"/>
      <c r="C31" s="9"/>
      <c r="D31" s="9"/>
      <c r="E31" s="19"/>
      <c r="F31" s="17"/>
      <c r="G31" s="17"/>
      <c r="H31" s="16"/>
      <c r="I31" s="16"/>
      <c r="J31" s="16"/>
      <c r="K31" s="16"/>
      <c r="L31" s="54">
        <f t="shared" si="4"/>
        <v>0</v>
      </c>
      <c r="M31" s="11"/>
      <c r="N31" s="11"/>
      <c r="O31" s="11"/>
      <c r="P31" s="23"/>
      <c r="Q31" s="22"/>
      <c r="R31" s="23"/>
      <c r="S31" s="184" t="str">
        <f t="shared" si="5"/>
        <v>Unfilled fields on left</v>
      </c>
      <c r="T31" s="7"/>
      <c r="U31" s="17"/>
      <c r="V31" s="4"/>
    </row>
    <row r="32" spans="2:22">
      <c r="B32" s="10"/>
      <c r="C32" s="9"/>
      <c r="D32" s="9"/>
      <c r="E32" s="19"/>
      <c r="F32" s="17"/>
      <c r="G32" s="17"/>
      <c r="H32" s="16"/>
      <c r="I32" s="16"/>
      <c r="J32" s="16"/>
      <c r="K32" s="16"/>
      <c r="L32" s="54">
        <f t="shared" si="4"/>
        <v>0</v>
      </c>
      <c r="M32" s="11"/>
      <c r="N32" s="11"/>
      <c r="O32" s="11"/>
      <c r="P32" s="23"/>
      <c r="Q32" s="22"/>
      <c r="R32" s="23"/>
      <c r="S32" s="184" t="str">
        <f t="shared" si="5"/>
        <v>Unfilled fields on left</v>
      </c>
      <c r="T32" s="7"/>
      <c r="U32" s="17"/>
      <c r="V32" s="4"/>
    </row>
    <row r="33" spans="2:22">
      <c r="B33" s="10"/>
      <c r="C33" s="9"/>
      <c r="D33" s="9"/>
      <c r="E33" s="19"/>
      <c r="F33" s="17"/>
      <c r="G33" s="17"/>
      <c r="H33" s="16"/>
      <c r="I33" s="16"/>
      <c r="J33" s="16"/>
      <c r="K33" s="16"/>
      <c r="L33" s="54">
        <f t="shared" si="4"/>
        <v>0</v>
      </c>
      <c r="M33" s="11"/>
      <c r="N33" s="11"/>
      <c r="O33" s="11"/>
      <c r="P33" s="23"/>
      <c r="Q33" s="22"/>
      <c r="R33" s="23"/>
      <c r="S33" s="184" t="str">
        <f t="shared" si="5"/>
        <v>Unfilled fields on left</v>
      </c>
      <c r="T33" s="7"/>
      <c r="U33" s="17"/>
      <c r="V33" s="4"/>
    </row>
    <row r="34" spans="2:22">
      <c r="C34" s="12"/>
      <c r="D34" s="12"/>
      <c r="E34" s="13"/>
      <c r="F34" s="12"/>
      <c r="G34" s="11"/>
      <c r="H34" s="14"/>
      <c r="I34" s="14"/>
      <c r="J34" s="14"/>
      <c r="K34" s="14"/>
      <c r="L34" s="14"/>
      <c r="M34" s="4"/>
      <c r="P34" s="14"/>
      <c r="Q34" s="22"/>
      <c r="R34" s="14"/>
      <c r="S34" s="49"/>
      <c r="U34" s="11"/>
      <c r="V34" s="4"/>
    </row>
    <row r="35" spans="2:22">
      <c r="M35" s="4"/>
      <c r="R35" s="46" t="s">
        <v>168</v>
      </c>
      <c r="S35" s="187">
        <f>SUM(S4:S34)</f>
        <v>0</v>
      </c>
      <c r="V35" s="4"/>
    </row>
    <row r="36" spans="2:22">
      <c r="B36" s="181" t="s">
        <v>329</v>
      </c>
      <c r="C36" s="177"/>
      <c r="D36" s="177"/>
      <c r="E36" s="177"/>
      <c r="M36" s="4"/>
      <c r="V36" s="4"/>
    </row>
    <row r="37" spans="2:22">
      <c r="B37" s="10" t="s">
        <v>330</v>
      </c>
      <c r="C37" s="9" t="s">
        <v>331</v>
      </c>
      <c r="D37" s="9" t="s">
        <v>169</v>
      </c>
      <c r="E37" s="10"/>
    </row>
    <row r="38" spans="2:22">
      <c r="B38" s="10"/>
      <c r="C38" s="9"/>
      <c r="D38" s="9"/>
      <c r="E38" s="10"/>
    </row>
    <row r="39" spans="2:22">
      <c r="B39" s="10"/>
      <c r="C39" s="9"/>
      <c r="D39" s="9"/>
      <c r="E39" s="10"/>
    </row>
    <row r="40" spans="2:22">
      <c r="B40" s="10"/>
      <c r="C40" s="10"/>
      <c r="D40" s="10"/>
      <c r="E40" s="10"/>
    </row>
  </sheetData>
  <dataValidations count="1">
    <dataValidation type="list" allowBlank="1" showInputMessage="1" showErrorMessage="1" sqref="D5:D14 D17:D33" xr:uid="{2B78AC28-7B51-442E-A11D-0042E59CEC0D}">
      <formula1>"tonnes/yr, MWh/yr (LHV)"</formula1>
    </dataValidation>
  </dataValidations>
  <pageMargins left="0.70000000000000007" right="0.70000000000000007" top="0.75" bottom="0.75" header="0.30000000000000004" footer="0.30000000000000004"/>
  <pageSetup paperSize="9" orientation="portrait" horizontalDpi="0"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975772-6a6d-4c16-8090-d45d9e29473d">
      <Value>1</Value>
    </TaxCatchAll>
    <Document_x0020_TypeTaxonomyTaxHTField0 xmlns="http://schemas.microsoft.com/sharepoint/v3">
      <Terms xmlns="http://schemas.microsoft.com/office/infopath/2007/PartnerControls">
        <TermInfo xmlns="http://schemas.microsoft.com/office/infopath/2007/PartnerControls">
          <TermName xmlns="http://schemas.microsoft.com/office/infopath/2007/PartnerControls">Project Document</TermName>
          <TermId xmlns="http://schemas.microsoft.com/office/infopath/2007/PartnerControls">df098213-6b74-42fc-9316-2f1a9531d8f9</TermId>
        </TermInfo>
      </Terms>
    </Document_x0020_TypeTaxonomyTaxHTField0>
    <Generate_x0020_Keywords xmlns="110614fb-e963-4feb-b2e5-98fc6e4d32f3">true</Generate_x0020_Keywords>
    <Document_x0020_Comments xmlns="http://schemas.microsoft.com/sharepoint/v3" xsi:nil="true"/>
    <Authors xmlns="http://schemas.microsoft.com/sharepoint/v3">
      <UserInfo>
        <DisplayName/>
        <AccountId xsi:nil="true"/>
        <AccountType/>
      </UserInfo>
    </Authors>
    <R-DivisionTaxonomyTaxHTField0 xmlns="http://schemas.microsoft.com/sharepoint/v3">
      <Terms xmlns="http://schemas.microsoft.com/office/infopath/2007/PartnerControls"/>
    </R-DivisionTaxonomyTaxHTField0>
    <Project_x0020_Number xmlns="http://schemas.microsoft.com/sharepoint/v3" xsi:nil="true"/>
    <Authoring_x0020_Departments xmlns="110614fb-e963-4feb-b2e5-98fc6e4d32f3"/>
    <Document_x0020_Approver xmlns="http://schemas.microsoft.com/sharepoint/v3">
      <UserInfo>
        <DisplayName/>
        <AccountId xsi:nil="true"/>
        <AccountType/>
      </UserInfo>
    </Document_x0020_Approver>
    <R_x002d_KeywordsTaxonomyTaxHTField0 xmlns="http://schemas.microsoft.com/sharepoint/v3">
      <Terms xmlns="http://schemas.microsoft.com/office/infopath/2007/PartnerControls"/>
    </R_x002d_KeywordsTaxonomyTaxHTField0>
    <BusinessAreaTaxonomyTaxHTField0 xmlns="http://schemas.microsoft.com/sharepoint/v3">
      <Terms xmlns="http://schemas.microsoft.com/office/infopath/2007/PartnerControls"/>
    </BusinessAreaTaxonomyTaxHTField0>
    <Document_x0020_Status xmlns="110614fb-e963-4feb-b2e5-98fc6e4d32f3" xsi:nil="true"/>
    <Document_x0020_Reference xmlns="http://schemas.microsoft.com/sharepoint/v3" xsi:nil="true"/>
    <RootDocumentReference xmlns="http://schemas.microsoft.com/sharepoint/v3" xsi:nil="true"/>
    <R-DivisionPolicyTaxonomyTaxHTField0 xmlns="http://schemas.microsoft.com/sharepoint/v3">
      <Terms xmlns="http://schemas.microsoft.com/office/infopath/2007/PartnerControls"/>
    </R-DivisionPolicyTaxonomyTaxHTField0>
    <Document_x0020_Issued xmlns="110614fb-e963-4feb-b2e5-98fc6e4d32f3" xsi:nil="true"/>
    <Issued_x0020_Date xmlns="110614fb-e963-4feb-b2e5-98fc6e4d32f3" xsi:nil="true"/>
    <HideEverything xmlns="2ba16705-9ebe-45e5-8d99-4cfd91a8dc3f" xsi:nil="true"/>
    <AuthoredByCustomer xmlns="110614fb-e963-4feb-b2e5-98fc6e4d32f3">false</AuthoredByCustomer>
    <Folder_x0020_Structure xmlns="http://schemas.microsoft.com/sharepoint/v3">&lt;a href="/projects/ED16536/Documents"&gt;Documents&lt;/a&gt; &amp;gt; &lt;a href="/projects/ED16536/Documents/3%20Project%20delivery%20ED16536%20Advanced%20Fuels%20Fund"&gt;3 Project delivery ED16536 Advanced Fuels Fund&lt;/a&gt; &amp;gt; &lt;a href="/projects/ED16536/Documents/3%20Project%20delivery%20ED16536%20Advanced%20Fuels%20Fund/3%20Background%20information"&gt;3 Background information&lt;/a&gt; &amp;gt; &lt;a href="/projects/ED16536/Documents/3%20Project%20delivery%20ED16536%20Advanced%20Fuels%20Fund/3%20Background%20information/Post-launch"&gt;Post-launch&lt;/a&gt;</Folder_x0020_Structure>
    <KeyDocument xmlns="110614fb-e963-4feb-b2e5-98fc6e4d32f3">false</KeyDocument>
    <Market_x0020_SectorTaxonomyTaxHTField0 xmlns="http://schemas.microsoft.com/sharepoint/v3">
      <Terms xmlns="http://schemas.microsoft.com/office/infopath/2007/PartnerControls"/>
    </Market_x0020_SectorTaxonomyTaxHTField0>
    <AgressoCustomerTaxonomyTaxHTField0 xmlns="http://schemas.microsoft.com/sharepoint/v3">
      <Terms xmlns="http://schemas.microsoft.com/office/infopath/2007/PartnerControls"/>
    </AgressoCustomerTaxonomyTaxHTField0>
    <ApprovalRecordedBy xmlns="http://schemas.microsoft.com/sharepoint/v3">
      <UserInfo>
        <DisplayName/>
        <AccountId xsi:nil="true"/>
        <AccountType/>
      </UserInfo>
    </ApprovalRecordedBy>
    <Version_x0020_No xmlns="http://schemas.microsoft.com/sharepoint/v3">0.1</Version_x0020_N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E Project Document" ma:contentTypeID="0x010100A1A26C4BCFF240D5BC273ED44781910B00DB7893F0587B354289208E53F756B6CC" ma:contentTypeVersion="6" ma:contentTypeDescription="REE Project Document" ma:contentTypeScope="" ma:versionID="72d781f77062a5d820404fe684ebf160">
  <xsd:schema xmlns:xsd="http://www.w3.org/2001/XMLSchema" xmlns:xs="http://www.w3.org/2001/XMLSchema" xmlns:p="http://schemas.microsoft.com/office/2006/metadata/properties" xmlns:ns1="http://schemas.microsoft.com/sharepoint/v3" xmlns:ns2="75975772-6a6d-4c16-8090-d45d9e29473d" xmlns:ns3="110614fb-e963-4feb-b2e5-98fc6e4d32f3" xmlns:ns4="2ba16705-9ebe-45e5-8d99-4cfd91a8dc3f" targetNamespace="http://schemas.microsoft.com/office/2006/metadata/properties" ma:root="true" ma:fieldsID="9bba288737aecb79c2fe5e678e8e4a13" ns1:_="" ns2:_="" ns3:_="" ns4:_="">
    <xsd:import namespace="http://schemas.microsoft.com/sharepoint/v3"/>
    <xsd:import namespace="75975772-6a6d-4c16-8090-d45d9e29473d"/>
    <xsd:import namespace="110614fb-e963-4feb-b2e5-98fc6e4d32f3"/>
    <xsd:import namespace="2ba16705-9ebe-45e5-8d99-4cfd91a8dc3f"/>
    <xsd:element name="properties">
      <xsd:complexType>
        <xsd:sequence>
          <xsd:element name="documentManagement">
            <xsd:complexType>
              <xsd:all>
                <xsd:element ref="ns2:_dlc_DocId" minOccurs="0"/>
                <xsd:element ref="ns2:_dlc_DocIdUrl" minOccurs="0"/>
                <xsd:element ref="ns2:_dlc_DocIdPersistId" minOccurs="0"/>
                <xsd:element ref="ns1:Document_x0020_TypeTaxonomyTaxHTField0" minOccurs="0"/>
                <xsd:element ref="ns1:R_x002d_KeywordsTaxonomyTaxHTField0" minOccurs="0"/>
                <xsd:element ref="ns3:Generate_x0020_Keywords" minOccurs="0"/>
                <xsd:element ref="ns1:Project_x0020_Number" minOccurs="0"/>
                <xsd:element ref="ns1:AgressoCustomerTaxonomyTaxHTField0" minOccurs="0"/>
                <xsd:element ref="ns1:BusinessAreaTaxonomyTaxHTField0" minOccurs="0"/>
                <xsd:element ref="ns1:R-DivisionPolicyTaxonomyTaxHTField0" minOccurs="0"/>
                <xsd:element ref="ns1:Market_x0020_SectorTaxonomyTaxHTField0" minOccurs="0"/>
                <xsd:element ref="ns1:Document_x0020_Comments" minOccurs="0"/>
                <xsd:element ref="ns1:Folder_x0020_Structure" minOccurs="0"/>
                <xsd:element ref="ns2:TaxCatchAll" minOccurs="0"/>
                <xsd:element ref="ns2:TaxCatchAllLabel" minOccurs="0"/>
                <xsd:element ref="ns1:FileExtension" minOccurs="0"/>
                <xsd:element ref="ns3:KeyDocument" minOccurs="0"/>
                <xsd:element ref="ns3:AuthoredByCustomer" minOccurs="0"/>
                <xsd:element ref="ns1:Authors" minOccurs="0"/>
                <xsd:element ref="ns3:Authoring_x0020_Departments" minOccurs="0"/>
                <xsd:element ref="ns3:Document_x0020_Issued" minOccurs="0"/>
                <xsd:element ref="ns1:Document_x0020_Reference" minOccurs="0"/>
                <xsd:element ref="ns1:RootDocumentReference" minOccurs="0"/>
                <xsd:element ref="ns3:Issued_x0020_Date" minOccurs="0"/>
                <xsd:element ref="ns3:Document_x0020_Status" minOccurs="0"/>
                <xsd:element ref="ns1:Document_x0020_Approver" minOccurs="0"/>
                <xsd:element ref="ns1:ApprovalRecordedBy" minOccurs="0"/>
                <xsd:element ref="ns1:Version_x0020_No" minOccurs="0"/>
                <xsd:element ref="ns1:R-DivisionTaxonomyTaxHTField0" minOccurs="0"/>
                <xsd:element ref="ns4:HideEveryth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_x0020_TypeTaxonomyTaxHTField0" ma:index="12" ma:taxonomy="true" ma:internalName="Document_x0020_TypeTaxonomyTaxHTField0" ma:taxonomyFieldName="Document_x0020_Type" ma:displayName="Document Type" ma:default="1;#Project Document|df098213-6b74-42fc-9316-2f1a9531d8f9" ma:fieldId="{fd31b5d2-9459-4462-9e35-c51176d55d6c}" ma:sspId="02677147-8018-48bf-96e8-39add3f86844" ma:termSetId="80de7132-7744-4fa5-9cb1-6eeaa76d3251" ma:anchorId="00000000-0000-0000-0000-000000000000" ma:open="false" ma:isKeyword="false">
      <xsd:complexType>
        <xsd:sequence>
          <xsd:element ref="pc:Terms" minOccurs="0" maxOccurs="1"/>
        </xsd:sequence>
      </xsd:complexType>
    </xsd:element>
    <xsd:element name="R_x002d_KeywordsTaxonomyTaxHTField0" ma:index="14" nillable="true" ma:taxonomy="true" ma:internalName="R_x002d_KeywordsTaxonomyTaxHTField0" ma:taxonomyFieldName="R_x002d_Keywords" ma:displayName="R-Keywords" ma:fieldId="{1c42c021-f3aa-43e0-98ca-6790571791a9}" ma:sspId="02677147-8018-48bf-96e8-39add3f86844" ma:termSetId="3101ac92-b66e-4a17-9ea7-0976b491e8e5" ma:anchorId="00000000-0000-0000-0000-000000000000" ma:open="false" ma:isKeyword="false">
      <xsd:complexType>
        <xsd:sequence>
          <xsd:element ref="pc:Terms" minOccurs="0" maxOccurs="1"/>
        </xsd:sequence>
      </xsd:complexType>
    </xsd:element>
    <xsd:element name="Project_x0020_Number" ma:index="16" nillable="true" ma:displayName="Project Number" ma:internalName="Project_x0020_Number">
      <xsd:simpleType>
        <xsd:restriction base="dms:Text"/>
      </xsd:simpleType>
    </xsd:element>
    <xsd:element name="AgressoCustomerTaxonomyTaxHTField0" ma:index="18" nillable="true" ma:taxonomy="true" ma:internalName="AgressoCustomerTaxonomyTaxHTField0" ma:taxonomyFieldName="AgressoCustomer" ma:displayName="Customer" ma:fieldId="{1d3b52e4-1af7-4246-9c35-147842386b6c}" ma:sspId="02677147-8018-48bf-96e8-39add3f86844" ma:termSetId="923cec87-5f7b-42ba-9a57-d5efa69a4b84" ma:anchorId="00000000-0000-0000-0000-000000000000" ma:open="false" ma:isKeyword="false">
      <xsd:complexType>
        <xsd:sequence>
          <xsd:element ref="pc:Terms" minOccurs="0" maxOccurs="1"/>
        </xsd:sequence>
      </xsd:complexType>
    </xsd:element>
    <xsd:element name="BusinessAreaTaxonomyTaxHTField0" ma:index="20" nillable="true" ma:taxonomy="true" ma:internalName="BusinessAreaTaxonomyTaxHTField0" ma:taxonomyFieldName="BusinessArea" ma:displayName="Business Area" ma:fieldId="{4d2c5a62-cace-44d5-a5f6-13d3bee16938}" ma:sspId="02677147-8018-48bf-96e8-39add3f86844" ma:termSetId="b135ba22-1eea-4fc3-9293-1752ba7ea5f6" ma:anchorId="00000000-0000-0000-0000-000000000000" ma:open="false" ma:isKeyword="false">
      <xsd:complexType>
        <xsd:sequence>
          <xsd:element ref="pc:Terms" minOccurs="0" maxOccurs="1"/>
        </xsd:sequence>
      </xsd:complexType>
    </xsd:element>
    <xsd:element name="R-DivisionPolicyTaxonomyTaxHTField0" ma:index="22" nillable="true" ma:taxonomy="true" ma:internalName="R_x002d_DivisionPolicyTaxonomyTaxHTField0" ma:taxonomyFieldName="R_x002d_DivisionPolicy" ma:displayName="Division" ma:fieldId="{50ad19bc-2508-45c6-bb4f-781576d44aa2}" ma:sspId="02677147-8018-48bf-96e8-39add3f86844" ma:termSetId="f724f16d-ce9a-4784-adab-f98a1fd9d8e6" ma:anchorId="00000000-0000-0000-0000-000000000000" ma:open="false" ma:isKeyword="false">
      <xsd:complexType>
        <xsd:sequence>
          <xsd:element ref="pc:Terms" minOccurs="0" maxOccurs="1"/>
        </xsd:sequence>
      </xsd:complexType>
    </xsd:element>
    <xsd:element name="Market_x0020_SectorTaxonomyTaxHTField0" ma:index="25" nillable="true" ma:taxonomy="true" ma:internalName="Market_x0020_SectorTaxonomyTaxHTField0" ma:taxonomyFieldName="Market_x0020_Sector" ma:displayName="Market Sector" ma:fieldId="{91294c4a-0fea-4059-9ad9-cccc9ef86cba}" ma:sspId="02677147-8018-48bf-96e8-39add3f86844" ma:termSetId="08cfdd10-ef36-4030-98be-25f6a603bde4" ma:anchorId="00000000-0000-0000-0000-000000000000" ma:open="false" ma:isKeyword="false">
      <xsd:complexType>
        <xsd:sequence>
          <xsd:element ref="pc:Terms" minOccurs="0" maxOccurs="1"/>
        </xsd:sequence>
      </xsd:complexType>
    </xsd:element>
    <xsd:element name="Document_x0020_Comments" ma:index="26" nillable="true" ma:displayName="Document Comments" ma:internalName="Document_x0020_Comments">
      <xsd:simpleType>
        <xsd:restriction base="dms:Note">
          <xsd:maxLength value="255"/>
        </xsd:restriction>
      </xsd:simpleType>
    </xsd:element>
    <xsd:element name="Folder_x0020_Structure" ma:index="27" nillable="true" ma:displayName="Folder Structure" ma:internalName="Folder_x0020_Structure">
      <xsd:simpleType>
        <xsd:restriction base="dms:Note"/>
      </xsd:simpleType>
    </xsd:element>
    <xsd:element name="FileExtension" ma:index="30" nillable="true" ma:displayName="File Extension" ma:internalName="FileExtension" ma:readOnly="true">
      <xsd:simpleType>
        <xsd:restriction base="dms:Text"/>
      </xsd:simpleType>
    </xsd:element>
    <xsd:element name="Authors" ma:index="33" nillable="true" ma:displayName="Authors" ma:internalName="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Reference" ma:index="36" nillable="true" ma:displayName="Document Reference" ma:indexed="true" ma:internalName="Document_x0020_Reference">
      <xsd:simpleType>
        <xsd:restriction base="dms:Text"/>
      </xsd:simpleType>
    </xsd:element>
    <xsd:element name="RootDocumentReference" ma:index="37" nillable="true" ma:displayName="Root Document Reference" ma:indexed="true" ma:internalName="RootDocumentReference">
      <xsd:simpleType>
        <xsd:restriction base="dms:Text"/>
      </xsd:simpleType>
    </xsd:element>
    <xsd:element name="Document_x0020_Approver" ma:index="40" nillable="true" ma:displayName="Document Approver" ma:internalName="Document_x0020_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alRecordedBy" ma:index="41" nillable="true" ma:displayName="Approval Recorded By" ma:internalName="ApprovalRecord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_x0020_No" ma:index="42" nillable="true" ma:displayName="Version No" ma:internalName="Version_x0020_No" ma:readOnly="true">
      <xsd:simpleType>
        <xsd:restriction base="dms:Text"/>
      </xsd:simpleType>
    </xsd:element>
    <xsd:element name="R-DivisionTaxonomyTaxHTField0" ma:index="43" nillable="true" ma:taxonomy="true" ma:internalName="R_x002d_DivisionTaxonomyTaxHTField0" ma:taxonomyFieldName="R_x002d_Division" ma:displayName="Company" ma:fieldId="{a0b740e5-6a48-43d1-aea4-81fb22ff6c26}" ma:sspId="02677147-8018-48bf-96e8-39add3f86844" ma:termSetId="916500c3-4c6e-47cd-8039-34f4c1f6d9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975772-6a6d-4c16-8090-d45d9e29473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description="" ma:hidden="true" ma:list="{2f1819ee-5203-429e-8ea0-8b6b50eacc98}" ma:internalName="TaxCatchAll" ma:showField="CatchAllData" ma:web="110614fb-e963-4feb-b2e5-98fc6e4d32f3">
      <xsd:complexType>
        <xsd:complexContent>
          <xsd:extension base="dms:MultiChoiceLookup">
            <xsd:sequence>
              <xsd:element name="Value" type="dms:Lookup" maxOccurs="unbounded" minOccurs="0" nillable="true"/>
            </xsd:sequence>
          </xsd:extension>
        </xsd:complexContent>
      </xsd:complexType>
    </xsd:element>
    <xsd:element name="TaxCatchAllLabel" ma:index="29" nillable="true" ma:displayName="Taxonomy Catch All Column1" ma:description="" ma:hidden="true" ma:list="{2f1819ee-5203-429e-8ea0-8b6b50eacc98}" ma:internalName="TaxCatchAllLabel" ma:readOnly="true" ma:showField="CatchAllDataLabel" ma:web="110614fb-e963-4feb-b2e5-98fc6e4d32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0614fb-e963-4feb-b2e5-98fc6e4d32f3" elementFormDefault="qualified">
    <xsd:import namespace="http://schemas.microsoft.com/office/2006/documentManagement/types"/>
    <xsd:import namespace="http://schemas.microsoft.com/office/infopath/2007/PartnerControls"/>
    <xsd:element name="Generate_x0020_Keywords" ma:index="15" nillable="true" ma:displayName="Generate Keywords" ma:default="1" ma:internalName="Generate_x0020_Keywords">
      <xsd:simpleType>
        <xsd:restriction base="dms:Boolean"/>
      </xsd:simpleType>
    </xsd:element>
    <xsd:element name="KeyDocument" ma:index="31" nillable="true" ma:displayName="Key Document" ma:default="0" ma:internalName="KeyDocument">
      <xsd:simpleType>
        <xsd:restriction base="dms:Boolean"/>
      </xsd:simpleType>
    </xsd:element>
    <xsd:element name="AuthoredByCustomer" ma:index="32" nillable="true" ma:displayName="Authored By Customer" ma:default="0" ma:internalName="AuthoredByCustomer">
      <xsd:simpleType>
        <xsd:restriction base="dms:Boolean"/>
      </xsd:simpleType>
    </xsd:element>
    <xsd:element name="Authoring_x0020_Departments" ma:index="34" nillable="true" ma:displayName="Authoring Departments" ma:internalName="Authoring_x0020_Departments">
      <xsd:complexType>
        <xsd:complexContent>
          <xsd:extension base="dms:MultiChoiceFillIn">
            <xsd:sequence>
              <xsd:element name="Value" maxOccurs="unbounded" minOccurs="0" nillable="true">
                <xsd:simpleType>
                  <xsd:union memberTypes="dms:Text">
                    <xsd:simpleType>
                      <xsd:restriction base="dms:Choice">
                        <xsd:enumeration value="No Department"/>
                      </xsd:restriction>
                    </xsd:simpleType>
                  </xsd:union>
                </xsd:simpleType>
              </xsd:element>
            </xsd:sequence>
          </xsd:extension>
        </xsd:complexContent>
      </xsd:complexType>
    </xsd:element>
    <xsd:element name="Document_x0020_Issued" ma:index="35" nillable="true" ma:displayName="Document Issued" ma:internalName="Document_x0020_Issued">
      <xsd:simpleType>
        <xsd:restriction base="dms:Choice">
          <xsd:enumeration value="Yes"/>
          <xsd:enumeration value="No"/>
        </xsd:restriction>
      </xsd:simpleType>
    </xsd:element>
    <xsd:element name="Issued_x0020_Date" ma:index="38" nillable="true" ma:displayName="Issued Date" ma:format="DateOnly" ma:internalName="Issued_x0020_Date">
      <xsd:simpleType>
        <xsd:restriction base="dms:DateTime"/>
      </xsd:simpleType>
    </xsd:element>
    <xsd:element name="Document_x0020_Status" ma:index="39" nillable="true" ma:displayName="Document Status" ma:internalName="Document_x0020_Status">
      <xsd:simpleType>
        <xsd:restriction base="dms:Choice">
          <xsd:enumeration value="Approved"/>
          <xsd:enumeration value="Draft"/>
        </xsd:restriction>
      </xsd:simpleType>
    </xsd:element>
  </xsd:schema>
  <xsd:schema xmlns:xsd="http://www.w3.org/2001/XMLSchema" xmlns:xs="http://www.w3.org/2001/XMLSchema" xmlns:dms="http://schemas.microsoft.com/office/2006/documentManagement/types" xmlns:pc="http://schemas.microsoft.com/office/infopath/2007/PartnerControls" targetNamespace="2ba16705-9ebe-45e5-8d99-4cfd91a8dc3f" elementFormDefault="qualified">
    <xsd:import namespace="http://schemas.microsoft.com/office/2006/documentManagement/types"/>
    <xsd:import namespace="http://schemas.microsoft.com/office/infopath/2007/PartnerControls"/>
    <xsd:element name="HideEverything" ma:index="44" nillable="true" ma:displayName="HideEverything" ma:internalName="HideEveryth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2677147-8018-48bf-96e8-39add3f86844" ContentTypeId="0x010100A1A26C4BCFF240D5BC273ED44781910B" PreviousValue="false"/>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4F430AE4-1BB4-432E-8FFD-9620639F63EF}">
  <ds:schemaRefs>
    <ds:schemaRef ds:uri="http://purl.org/dc/terms/"/>
    <ds:schemaRef ds:uri="http://purl.org/dc/dcmitype/"/>
    <ds:schemaRef ds:uri="http://schemas.microsoft.com/office/infopath/2007/PartnerControls"/>
    <ds:schemaRef ds:uri="75975772-6a6d-4c16-8090-d45d9e29473d"/>
    <ds:schemaRef ds:uri="http://schemas.microsoft.com/sharepoint/v3"/>
    <ds:schemaRef ds:uri="http://schemas.microsoft.com/office/2006/documentManagement/types"/>
    <ds:schemaRef ds:uri="http://schemas.microsoft.com/office/2006/metadata/properties"/>
    <ds:schemaRef ds:uri="http://schemas.openxmlformats.org/package/2006/metadata/core-properties"/>
    <ds:schemaRef ds:uri="2ba16705-9ebe-45e5-8d99-4cfd91a8dc3f"/>
    <ds:schemaRef ds:uri="110614fb-e963-4feb-b2e5-98fc6e4d32f3"/>
    <ds:schemaRef ds:uri="http://www.w3.org/XML/1998/namespace"/>
    <ds:schemaRef ds:uri="http://purl.org/dc/elements/1.1/"/>
    <ds:schemaRef ds:uri="6efd9bda-5fdd-49f3-9692-c2f57a8f124d"/>
    <ds:schemaRef ds:uri="8f9f480b-59e1-45bd-9ebc-650d595eb90c"/>
  </ds:schemaRefs>
</ds:datastoreItem>
</file>

<file path=customXml/itemProps2.xml><?xml version="1.0" encoding="utf-8"?>
<ds:datastoreItem xmlns:ds="http://schemas.openxmlformats.org/officeDocument/2006/customXml" ds:itemID="{9E7ECBB3-2596-4F0C-A0D5-52929F551A37}">
  <ds:schemaRefs>
    <ds:schemaRef ds:uri="http://schemas.microsoft.com/sharepoint/v3/contenttype/forms"/>
  </ds:schemaRefs>
</ds:datastoreItem>
</file>

<file path=customXml/itemProps3.xml><?xml version="1.0" encoding="utf-8"?>
<ds:datastoreItem xmlns:ds="http://schemas.openxmlformats.org/officeDocument/2006/customXml" ds:itemID="{934CCF21-8751-4804-9EF6-A9D6E94B7F88}"/>
</file>

<file path=customXml/itemProps4.xml><?xml version="1.0" encoding="utf-8"?>
<ds:datastoreItem xmlns:ds="http://schemas.openxmlformats.org/officeDocument/2006/customXml" ds:itemID="{6B01943F-58A6-4D3D-99DE-B8A255A38D80}"/>
</file>

<file path=customXml/itemProps5.xml><?xml version="1.0" encoding="utf-8"?>
<ds:datastoreItem xmlns:ds="http://schemas.openxmlformats.org/officeDocument/2006/customXml" ds:itemID="{E290C46F-0239-4613-A5CE-66B5CA57833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Guidance</vt:lpstr>
      <vt:lpstr>Units</vt:lpstr>
      <vt:lpstr>Assumptions</vt:lpstr>
      <vt:lpstr>Summary</vt:lpstr>
      <vt:lpstr>System Boundary</vt:lpstr>
      <vt:lpstr>Additional evidence</vt:lpstr>
      <vt:lpstr>RCF counterfactual</vt:lpstr>
      <vt:lpstr>Feedstock collection</vt:lpstr>
      <vt:lpstr>Feedstock transport</vt:lpstr>
      <vt:lpstr>Pre-processing</vt:lpstr>
      <vt:lpstr>Intermediate transport</vt:lpstr>
      <vt:lpstr>Conversion</vt:lpstr>
      <vt:lpstr>Further transport</vt:lpstr>
      <vt:lpstr>Upgrading</vt:lpstr>
      <vt:lpstr>Fuel distribution 1</vt:lpstr>
      <vt:lpstr>Fuel storage</vt:lpstr>
      <vt:lpstr>Fuel distribution 2</vt:lpstr>
      <vt:lpstr>Refuelling</vt:lpstr>
      <vt:lpstr>bbl_to_USgal</vt:lpstr>
      <vt:lpstr>kWh_to_MJ</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H GHG Calculation for Advanced Fuels Fund</dc:title>
  <dc:subject/>
  <dc:creator>Eloise Cotton</dc:creator>
  <cp:keywords/>
  <dc:description/>
  <cp:lastModifiedBy>Richard Taylor</cp:lastModifiedBy>
  <cp:revision/>
  <dcterms:created xsi:type="dcterms:W3CDTF">2012-01-05T14:11:32Z</dcterms:created>
  <dcterms:modified xsi:type="dcterms:W3CDTF">2022-08-01T23:06:07Z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0x010100A1A26C4BCFF240D5BC273ED44781910B00DB7893F0587B354289208E53F756B6CC</vt:lpwstr>
  </property>
  <property fmtid="{D5CDD505-2E9C-101B-9397-08002B2CF9AE}" pid="3" name="URL">
    <vt:lpwstr/>
  </property>
  <property fmtid="{D5CDD505-2E9C-101B-9397-08002B2CF9AE}" pid="4" name="_ExtendedDescription">
    <vt:lpwstr/>
  </property>
  <property fmtid="{D5CDD505-2E9C-101B-9397-08002B2CF9AE}" pid="5" name="MediaServiceImageTags">
    <vt:lpwstr/>
  </property>
  <property fmtid="{D5CDD505-2E9C-101B-9397-08002B2CF9AE}" pid="6" name="BusinessArea">
    <vt:lpwstr/>
  </property>
  <property fmtid="{D5CDD505-2E9C-101B-9397-08002B2CF9AE}" pid="7" name="AgressoCustomer">
    <vt:lpwstr/>
  </property>
  <property fmtid="{D5CDD505-2E9C-101B-9397-08002B2CF9AE}" pid="8" name="R-DivisionPolicy">
    <vt:lpwstr/>
  </property>
  <property fmtid="{D5CDD505-2E9C-101B-9397-08002B2CF9AE}" pid="9" name="R-Keywords">
    <vt:lpwstr/>
  </property>
  <property fmtid="{D5CDD505-2E9C-101B-9397-08002B2CF9AE}" pid="10" name="Market Sector">
    <vt:lpwstr/>
  </property>
  <property fmtid="{D5CDD505-2E9C-101B-9397-08002B2CF9AE}" pid="11" name="R-Division">
    <vt:lpwstr/>
  </property>
  <property fmtid="{D5CDD505-2E9C-101B-9397-08002B2CF9AE}" pid="12" name="Document Type">
    <vt:lpwstr>1;#Project Document|df098213-6b74-42fc-9316-2f1a9531d8f9</vt:lpwstr>
  </property>
</Properties>
</file>